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Data" sheetId="1" r:id="rId1"/>
    <sheet name="STATEMENT" sheetId="2" r:id="rId2"/>
    <sheet name="tax" sheetId="3" r:id="rId3"/>
    <sheet name="Form 16 page-1" sheetId="4" r:id="rId4"/>
    <sheet name="Form 16 page-2" sheetId="5" r:id="rId5"/>
    <sheet name="convert" sheetId="6" r:id="rId6"/>
  </sheets>
  <externalReferences>
    <externalReference r:id="rId9"/>
    <externalReference r:id="rId10"/>
    <externalReference r:id="rId11"/>
  </externalReferences>
  <definedNames>
    <definedName name="cmb_IncD.BankAccountType">#REF!</definedName>
    <definedName name="cmb_IncD.EcsRequired">#REF!</definedName>
    <definedName name="cmb_TDSal.StateCode">'[2]TDS'!$E$32:$E$67</definedName>
    <definedName name="DA">'Data'!#REF!</definedName>
    <definedName name="_xlnm.Print_Area" localSheetId="0">'Data'!$A$1:$G$51</definedName>
    <definedName name="_xlnm.Print_Area" localSheetId="4">'Form 16 page-2'!$A$1:$L$61</definedName>
    <definedName name="_xlnm.Print_Area" localSheetId="1">'STATEMENT'!$A$1:$U$25</definedName>
    <definedName name="_xlnm.Print_Area" localSheetId="2">'tax'!$A$1:$I$59</definedName>
  </definedNames>
  <calcPr fullCalcOnLoad="1"/>
</workbook>
</file>

<file path=xl/comments1.xml><?xml version="1.0" encoding="utf-8"?>
<comments xmlns="http://schemas.openxmlformats.org/spreadsheetml/2006/main">
  <authors>
    <author>TPREDDY</author>
    <author>MURALI KRISHNA</author>
    <author>Murali</author>
  </authors>
  <commentList>
    <comment ref="D16" authorId="0">
      <text>
        <r>
          <rPr>
            <b/>
            <sz val="11"/>
            <rFont val="Tahoma"/>
            <family val="2"/>
          </rPr>
          <t>0 for NO
1 for YES</t>
        </r>
      </text>
    </comment>
    <comment ref="E27" authorId="1">
      <text>
        <r>
          <rPr>
            <sz val="8"/>
            <rFont val="Tahoma"/>
            <family val="2"/>
          </rPr>
          <t xml:space="preserve">
IF Own House  SELECT 1
IF Rented House  SELECT 2</t>
        </r>
      </text>
    </comment>
    <comment ref="D18" authorId="0">
      <text>
        <r>
          <rPr>
            <b/>
            <sz val="11"/>
            <rFont val="Tahoma"/>
            <family val="2"/>
          </rPr>
          <t>0 for NO
1 for YES</t>
        </r>
      </text>
    </comment>
    <comment ref="D15" authorId="2">
      <text>
        <r>
          <rPr>
            <sz val="8"/>
            <rFont val="Tahoma"/>
            <family val="2"/>
          </rPr>
          <t xml:space="preserve">
HM ALLOWANCE CAN BE OMMITTED AS IT IS TREATED AS DUTY ALLOWANCE</t>
        </r>
      </text>
    </comment>
    <comment ref="D3" authorId="0">
      <text>
        <r>
          <rPr>
            <b/>
            <sz val="10"/>
            <rFont val="Tahoma"/>
            <family val="2"/>
          </rPr>
          <t>use CAPITAL letters</t>
        </r>
        <r>
          <rPr>
            <sz val="9"/>
            <rFont val="Tahoma"/>
            <family val="2"/>
          </rPr>
          <t xml:space="preserve">
</t>
        </r>
      </text>
    </comment>
    <comment ref="C22" authorId="1">
      <text>
        <r>
          <rPr>
            <sz val="8"/>
            <rFont val="Tahoma"/>
            <family val="2"/>
          </rPr>
          <t xml:space="preserve">
IF CPS PAID SELECT 2 IF CPS IS NOT PAID SELECT 1</t>
        </r>
      </text>
    </comment>
    <comment ref="E50" authorId="0">
      <text>
        <r>
          <rPr>
            <sz val="10"/>
            <rFont val="Tahoma"/>
            <family val="2"/>
          </rPr>
          <t>for PHC 40%:Rs50000
for PHC above 80%: Rs75000</t>
        </r>
      </text>
    </comment>
    <comment ref="B36" authorId="0">
      <text>
        <r>
          <rPr>
            <b/>
            <sz val="9"/>
            <color indexed="10"/>
            <rFont val="Tahoma"/>
            <family val="2"/>
          </rPr>
          <t>Housing Loan sanctioned after 1.4.2013 
ex: if Interst paid is Rs 235000 enter in this cell 
Rs 235000 - Rs 150000 = Rs 85000</t>
        </r>
        <r>
          <rPr>
            <sz val="9"/>
            <rFont val="Tahoma"/>
            <family val="0"/>
          </rPr>
          <t xml:space="preserve">
</t>
        </r>
      </text>
    </comment>
  </commentList>
</comments>
</file>

<file path=xl/comments2.xml><?xml version="1.0" encoding="utf-8"?>
<comments xmlns="http://schemas.openxmlformats.org/spreadsheetml/2006/main">
  <authors>
    <author>TPREDDY</author>
  </authors>
  <commentList>
    <comment ref="S4" authorId="0">
      <text>
        <r>
          <rPr>
            <b/>
            <sz val="9"/>
            <rFont val="Tahoma"/>
            <family val="2"/>
          </rPr>
          <t>for Gr II Gazetted HMs  50</t>
        </r>
        <r>
          <rPr>
            <sz val="9"/>
            <rFont val="Tahoma"/>
            <family val="2"/>
          </rPr>
          <t xml:space="preserve">
</t>
        </r>
      </text>
    </comment>
    <comment ref="S13" authorId="0">
      <text>
        <r>
          <rPr>
            <b/>
            <sz val="9"/>
            <rFont val="Tahoma"/>
            <family val="2"/>
          </rPr>
          <t>for Gr II Gazetted HMs  50</t>
        </r>
        <r>
          <rPr>
            <sz val="9"/>
            <rFont val="Tahoma"/>
            <family val="2"/>
          </rPr>
          <t xml:space="preserve">
</t>
        </r>
      </text>
    </comment>
  </commentList>
</comments>
</file>

<file path=xl/comments3.xml><?xml version="1.0" encoding="utf-8"?>
<comments xmlns="http://schemas.openxmlformats.org/spreadsheetml/2006/main">
  <authors>
    <author>TPREDDY</author>
  </authors>
  <commentList>
    <comment ref="C30" authorId="0">
      <text>
        <r>
          <rPr>
            <b/>
            <sz val="9"/>
            <rFont val="Tahoma"/>
            <family val="2"/>
          </rPr>
          <t>80D Maximum:Rs15000</t>
        </r>
      </text>
    </comment>
    <comment ref="C38" authorId="0">
      <text>
        <r>
          <rPr>
            <sz val="10"/>
            <rFont val="Tahoma"/>
            <family val="2"/>
          </rPr>
          <t>for 40% PHC: Rs 50000
more than 80%: Rs 75000</t>
        </r>
      </text>
    </comment>
    <comment ref="F35" authorId="0">
      <text>
        <r>
          <rPr>
            <b/>
            <sz val="14"/>
            <rFont val="Tahoma"/>
            <family val="2"/>
          </rPr>
          <t>for Gr II HMs Rs50</t>
        </r>
        <r>
          <rPr>
            <sz val="9"/>
            <rFont val="Tahoma"/>
            <family val="2"/>
          </rPr>
          <t xml:space="preserve">
</t>
        </r>
      </text>
    </comment>
    <comment ref="F36" authorId="0">
      <text>
        <r>
          <rPr>
            <b/>
            <sz val="16"/>
            <rFont val="Tahoma"/>
            <family val="2"/>
          </rPr>
          <t>For Gr II HMs Rs 50</t>
        </r>
        <r>
          <rPr>
            <sz val="9"/>
            <rFont val="Tahoma"/>
            <family val="2"/>
          </rPr>
          <t xml:space="preserve">
</t>
        </r>
      </text>
    </comment>
  </commentList>
</comments>
</file>

<file path=xl/sharedStrings.xml><?xml version="1.0" encoding="utf-8"?>
<sst xmlns="http://schemas.openxmlformats.org/spreadsheetml/2006/main" count="613" uniqueCount="433">
  <si>
    <t>S.NO</t>
  </si>
  <si>
    <t>PAY</t>
  </si>
  <si>
    <t>HMA</t>
  </si>
  <si>
    <t>DA</t>
  </si>
  <si>
    <t>HRA</t>
  </si>
  <si>
    <t>TOTAL</t>
  </si>
  <si>
    <t>GIS</t>
  </si>
  <si>
    <t>APGLI</t>
  </si>
  <si>
    <t>P.TAX</t>
  </si>
  <si>
    <t>DEDUCTIONS</t>
  </si>
  <si>
    <t>Surrender Leave</t>
  </si>
  <si>
    <t>Name of the Employee</t>
  </si>
  <si>
    <t>Designation</t>
  </si>
  <si>
    <t>Name of the Office</t>
  </si>
  <si>
    <t>HRA %</t>
  </si>
  <si>
    <t>Tuition Fee</t>
  </si>
  <si>
    <t>OTHER DEDUCTIONS</t>
  </si>
  <si>
    <t>:</t>
  </si>
  <si>
    <t>Gross salary Income</t>
  </si>
  <si>
    <t>HRA Exmpted</t>
  </si>
  <si>
    <t>i) Actual HRA Received</t>
  </si>
  <si>
    <t>(Deduct least of the above three)</t>
  </si>
  <si>
    <t>Deductions</t>
  </si>
  <si>
    <t>a) Profession Tax(U/S 16(iii)</t>
  </si>
  <si>
    <t>Total</t>
  </si>
  <si>
    <t>Total Income(6-7)</t>
  </si>
  <si>
    <t>ii)G.I.S</t>
  </si>
  <si>
    <t>iii)L.I.C</t>
  </si>
  <si>
    <t>v) A.P.G.L.I</t>
  </si>
  <si>
    <t>vi) Tution Fee</t>
  </si>
  <si>
    <t>viii) Housing loan principle amount</t>
  </si>
  <si>
    <t>ix) Bonds</t>
  </si>
  <si>
    <t>B) Mediclaim Insurance (80-D)</t>
  </si>
  <si>
    <t>D) Exp. On Medical Treatment</t>
  </si>
  <si>
    <t>E) Donations (80 G)</t>
  </si>
  <si>
    <t>i) C.M.Relief Fund</t>
  </si>
  <si>
    <t>ii) Sainic welfare fund</t>
  </si>
  <si>
    <t>iii) Employees welfare fund</t>
  </si>
  <si>
    <t>iv) Other donations if any</t>
  </si>
  <si>
    <t>F) Deduction on to PHC Employees(80 U)</t>
  </si>
  <si>
    <t>Total(Chapter VI-A)</t>
  </si>
  <si>
    <t>Taxable Income(8-9)</t>
  </si>
  <si>
    <t>Tax on total Income</t>
  </si>
  <si>
    <t>Net Tax Payable</t>
  </si>
  <si>
    <t>Net salary Income(4-5)</t>
  </si>
  <si>
    <t>Housing loan principle amount</t>
  </si>
  <si>
    <t>C.M.Relief Fund</t>
  </si>
  <si>
    <t>Surcharge</t>
  </si>
  <si>
    <t>Education Cess(2%)</t>
  </si>
  <si>
    <t>Secondary&amp;Higher Education Cess 1%</t>
  </si>
  <si>
    <t>iii) 40% of Salary</t>
  </si>
  <si>
    <t>SGT</t>
  </si>
  <si>
    <t>SA(PS)</t>
  </si>
  <si>
    <t>SA(ENG)</t>
  </si>
  <si>
    <t>SA(TEL)</t>
  </si>
  <si>
    <t>SA(HIN)</t>
  </si>
  <si>
    <t>GR-I TP</t>
  </si>
  <si>
    <t>GR-I HP</t>
  </si>
  <si>
    <t>GR-II TP</t>
  </si>
  <si>
    <t>GR-II HP</t>
  </si>
  <si>
    <t>PET</t>
  </si>
  <si>
    <t>APGLI LOAN</t>
  </si>
  <si>
    <t>PP/FP</t>
  </si>
  <si>
    <t>EARNINGS</t>
  </si>
  <si>
    <t>Signature of the Employee</t>
  </si>
  <si>
    <t>Signature of the D.D.O</t>
  </si>
  <si>
    <t>C) Exception on PHC dependent (80DD)</t>
  </si>
  <si>
    <t>CMRF</t>
  </si>
  <si>
    <t>GPF LOAN</t>
  </si>
  <si>
    <t>ZPPF LOAN</t>
  </si>
  <si>
    <t>PAN NO.</t>
  </si>
  <si>
    <t>CPS</t>
  </si>
  <si>
    <t>EWF/SWF</t>
  </si>
  <si>
    <t>i)G.P.F/Z.P.P.F/C.P.S</t>
  </si>
  <si>
    <t>MORE EARNINGS</t>
  </si>
  <si>
    <t>CA(PH ALLOWANCE)</t>
  </si>
  <si>
    <t>MONTH OF INCREMENT</t>
  </si>
  <si>
    <t>PAY AFTER INCREMENT</t>
  </si>
  <si>
    <t>Assessment Year</t>
  </si>
  <si>
    <t>80DDB</t>
  </si>
  <si>
    <t>i</t>
  </si>
  <si>
    <t>RPS-2010</t>
  </si>
  <si>
    <t>CCA</t>
  </si>
  <si>
    <t xml:space="preserve">PAY FIXATION </t>
  </si>
  <si>
    <t>Rs. 2,00,000/-     NIL</t>
  </si>
  <si>
    <t>Rs.5,00,001/-to10,00,000/-20%</t>
  </si>
  <si>
    <t>Rs. 10,00,000-above 30%</t>
  </si>
  <si>
    <t>Rs, 2,00,001/- to5,00,000/- 10% of amount exceeding 2.0 lakhs</t>
  </si>
  <si>
    <t>I.T</t>
  </si>
  <si>
    <t>GPF/
ZPPF</t>
  </si>
  <si>
    <t>NAME AND ADDRESS OF THE EMPLOYER</t>
  </si>
  <si>
    <t>NAME AND DESIGNATION OF THE EMPLOYEE</t>
  </si>
  <si>
    <t>Quarter</t>
  </si>
  <si>
    <t>Period</t>
  </si>
  <si>
    <t>From</t>
  </si>
  <si>
    <t>To</t>
  </si>
  <si>
    <t>DETAILS OF SALARY PAID AND ANY OTHER INCOME AND TAX DEDUCTED</t>
  </si>
  <si>
    <t>Gross Salary</t>
  </si>
  <si>
    <t>Rs.</t>
  </si>
  <si>
    <t>a)</t>
  </si>
  <si>
    <t>Salary as per provisions cotained in section 17 (1)</t>
  </si>
  <si>
    <t>b)</t>
  </si>
  <si>
    <t>Value of percuisites under section 17(2)</t>
  </si>
  <si>
    <t>(As Per Form No. 12BA, Wherever applicable)</t>
  </si>
  <si>
    <t>c)</t>
  </si>
  <si>
    <t>Profits in lieu of salary under section 17(3)</t>
  </si>
  <si>
    <t>d)</t>
  </si>
  <si>
    <t>Less: Allowance to the extent exempted U/s 10</t>
  </si>
  <si>
    <t>House Rent Allowence</t>
  </si>
  <si>
    <t>Other Allowance</t>
  </si>
  <si>
    <t>Balance (1-2)</t>
  </si>
  <si>
    <t>Entertainment Allowence</t>
  </si>
  <si>
    <t>Tax on Employment</t>
  </si>
  <si>
    <t>Aggreate of 4 (a)&amp;(b)</t>
  </si>
  <si>
    <t>INCOME CHARGEABLE UNDER THE HEAD SALARIES (3-5)</t>
  </si>
  <si>
    <t>Add: Any other income reported by the employee</t>
  </si>
  <si>
    <t>Add: Income of Capital Gains</t>
  </si>
  <si>
    <t>Less:Interest on Housing Loan U/s 24(b)</t>
  </si>
  <si>
    <t>Gross Total Income (6+7)</t>
  </si>
  <si>
    <t>Deductions Under Chapter VI-A</t>
  </si>
  <si>
    <t>A)</t>
  </si>
  <si>
    <t>UnderSection 80C,80CCC,80CCD.</t>
  </si>
  <si>
    <t>Gross</t>
  </si>
  <si>
    <t>Qualifying</t>
  </si>
  <si>
    <t>Deductible</t>
  </si>
  <si>
    <t>Section 80C</t>
  </si>
  <si>
    <t>Amount</t>
  </si>
  <si>
    <t>G.P.F</t>
  </si>
  <si>
    <t>ii</t>
  </si>
  <si>
    <t>A.P.G.L.I</t>
  </si>
  <si>
    <t>iii</t>
  </si>
  <si>
    <t>G.I.S</t>
  </si>
  <si>
    <t>iv</t>
  </si>
  <si>
    <t>v</t>
  </si>
  <si>
    <t>Equity Linked Savings Scheme</t>
  </si>
  <si>
    <t>vi</t>
  </si>
  <si>
    <t>Repayement of Home Loan Premium</t>
  </si>
  <si>
    <t>vii</t>
  </si>
  <si>
    <t>viii</t>
  </si>
  <si>
    <t>ix</t>
  </si>
  <si>
    <t xml:space="preserve">5 Years Fixed Deposits </t>
  </si>
  <si>
    <t>x</t>
  </si>
  <si>
    <t>Unit Linked Insurance Plan</t>
  </si>
  <si>
    <t>xi</t>
  </si>
  <si>
    <t>Total Under Section 80C…</t>
  </si>
  <si>
    <t>Section 80CCC</t>
  </si>
  <si>
    <t>LIC / UTI  etc. Pension funds</t>
  </si>
  <si>
    <t>Section 80CCD</t>
  </si>
  <si>
    <t>Contribution to Pension Fund</t>
  </si>
  <si>
    <r>
      <t>Aggrigate Amount Deductible Under 3 Sections</t>
    </r>
    <r>
      <rPr>
        <sz val="11"/>
        <rFont val="Book Antiqua"/>
        <family val="1"/>
      </rPr>
      <t>………………………………………………….</t>
    </r>
  </si>
  <si>
    <t>Note:</t>
  </si>
  <si>
    <t>1.aggregate amount deductible under section 80c shall not exceed one lakh rupees.</t>
  </si>
  <si>
    <t>2.aggregate amount deductible under section 80C,80CCC,80CCD, shall not exceed one lakh rupees.</t>
  </si>
  <si>
    <t>B)</t>
  </si>
  <si>
    <t>Other Sections Under Chapter VI A</t>
  </si>
  <si>
    <t>( Under Sections 80E,80G,80DD etc )</t>
  </si>
  <si>
    <t>EWF &amp; SWF</t>
  </si>
  <si>
    <t>Expenditure on medical treatment</t>
  </si>
  <si>
    <t>Medical Insurance Premium</t>
  </si>
  <si>
    <t>Interest on Educational Loan</t>
  </si>
  <si>
    <t>Medical treatment of Handicapped/Dependent</t>
  </si>
  <si>
    <t>Maintaince for 80% and above disabled Employee</t>
  </si>
  <si>
    <t>Total Under Sections 80G,80E,80DD etc…..</t>
  </si>
  <si>
    <t>TOTAL INCOME  (8-10)</t>
  </si>
  <si>
    <t>TAX ON TOTAL INCOME Rs.</t>
  </si>
  <si>
    <t>Education Cess @ 1% (On Tax at  S.No.12 )</t>
  </si>
  <si>
    <t>Secondary and Higher Education Cess @ 2% (On Tax at  S.No.12 )</t>
  </si>
  <si>
    <t>Relief under section 89 (attach details)</t>
  </si>
  <si>
    <t xml:space="preserve">     Employee U/S 192 (1A) on perquisited U/S 17 (2)</t>
  </si>
  <si>
    <t>DETAILS OF TAX DEDUCTED AND DEPOSITED INTO CENTRAL GOVERNMENT ACCOUNT</t>
  </si>
  <si>
    <t>(The employer is to provide tranction - wise details of tax deducted and deposited)</t>
  </si>
  <si>
    <t>Sl.</t>
  </si>
  <si>
    <t>TDS</t>
  </si>
  <si>
    <t>Education</t>
  </si>
  <si>
    <t>Total Tax</t>
  </si>
  <si>
    <t>Cheque/DD</t>
  </si>
  <si>
    <t>BSR Code</t>
  </si>
  <si>
    <t xml:space="preserve">Date on </t>
  </si>
  <si>
    <t>No.</t>
  </si>
  <si>
    <t>Cess</t>
  </si>
  <si>
    <t>Deposited</t>
  </si>
  <si>
    <t>No. (if any)</t>
  </si>
  <si>
    <t>Which Tax</t>
  </si>
  <si>
    <t>Identification No</t>
  </si>
  <si>
    <t>Place:</t>
  </si>
  <si>
    <t>Signature of the person responsible for deduction of tax</t>
  </si>
  <si>
    <t>Date:</t>
  </si>
  <si>
    <r>
      <rPr>
        <sz val="18"/>
        <color indexed="8"/>
        <rFont val="Calibri"/>
        <family val="2"/>
      </rPr>
      <t>Form No:16</t>
    </r>
    <r>
      <rPr>
        <sz val="11"/>
        <color indexed="8"/>
        <rFont val="Calibri"/>
        <family val="2"/>
      </rPr>
      <t xml:space="preserve">
[See Rule 31(1)a]</t>
    </r>
  </si>
  <si>
    <t>GUNTUR DT</t>
  </si>
  <si>
    <t>GUNTUR DISTRICT</t>
  </si>
  <si>
    <t>DISTRICT EDUCATIONAL OFFICER,</t>
  </si>
  <si>
    <t>working as</t>
  </si>
  <si>
    <t xml:space="preserve">Rupees in words </t>
  </si>
  <si>
    <t xml:space="preserve">  I      </t>
  </si>
  <si>
    <t>Number</t>
  </si>
  <si>
    <t>In Words( Lower Case )</t>
  </si>
  <si>
    <t>In Words (Upper Case)</t>
  </si>
  <si>
    <t>In Words</t>
  </si>
  <si>
    <t>ZERO</t>
  </si>
  <si>
    <t>ONE</t>
  </si>
  <si>
    <t>LAKHS</t>
  </si>
  <si>
    <t>TWO</t>
  </si>
  <si>
    <t>THOUSAND</t>
  </si>
  <si>
    <t>THREE</t>
  </si>
  <si>
    <t>HUNDRED</t>
  </si>
  <si>
    <t>FOUR</t>
  </si>
  <si>
    <t>AND</t>
  </si>
  <si>
    <t xml:space="preserve">FIVE </t>
  </si>
  <si>
    <t>SIX</t>
  </si>
  <si>
    <t>SEVEN</t>
  </si>
  <si>
    <t>EIGHT</t>
  </si>
  <si>
    <t>NINE</t>
  </si>
  <si>
    <t>TEN</t>
  </si>
  <si>
    <t>ELEVEN</t>
  </si>
  <si>
    <t xml:space="preserve">Prepared by </t>
  </si>
  <si>
    <t>TWELVE</t>
  </si>
  <si>
    <t>T.Panakala Reddy S.A (PS)</t>
  </si>
  <si>
    <t>THIRTEEN</t>
  </si>
  <si>
    <t>FOURTEEN</t>
  </si>
  <si>
    <t>Z.P.H.S,Nambur</t>
  </si>
  <si>
    <t>FIFTEEN</t>
  </si>
  <si>
    <t>SIXTEEN</t>
  </si>
  <si>
    <t>SEVENTEEN</t>
  </si>
  <si>
    <t>EIGHTEEN</t>
  </si>
  <si>
    <t>NINETEEN</t>
  </si>
  <si>
    <t>TWENTY</t>
  </si>
  <si>
    <t xml:space="preserve">TWENTY ONE </t>
  </si>
  <si>
    <t>TWENTY TWO</t>
  </si>
  <si>
    <t>TWENTY THREE</t>
  </si>
  <si>
    <t>TWENTY  FOUR</t>
  </si>
  <si>
    <t xml:space="preserve">TWENTY  FIVE </t>
  </si>
  <si>
    <t>TWENTY SIX</t>
  </si>
  <si>
    <t>TWENTY SEVEN</t>
  </si>
  <si>
    <t>TWENTY EIGHT</t>
  </si>
  <si>
    <t>TWENTY NINE</t>
  </si>
  <si>
    <t>THIRTY</t>
  </si>
  <si>
    <t xml:space="preserve">THIRTY ONE </t>
  </si>
  <si>
    <t>THIRTY TWO</t>
  </si>
  <si>
    <t>THIRTY THREE</t>
  </si>
  <si>
    <t>THIRTY  FOUR</t>
  </si>
  <si>
    <t xml:space="preserve">THIRTY  FIVE </t>
  </si>
  <si>
    <t>THIRTY SIX</t>
  </si>
  <si>
    <t>THIRTY SEVEN</t>
  </si>
  <si>
    <t>THIRTY EIGHT</t>
  </si>
  <si>
    <t>THIRTY NINE</t>
  </si>
  <si>
    <t>FORTY</t>
  </si>
  <si>
    <t xml:space="preserve">FORTY ONE </t>
  </si>
  <si>
    <t>FORTY TWO</t>
  </si>
  <si>
    <t>FORTY THREE</t>
  </si>
  <si>
    <t>FORTY  FOUR</t>
  </si>
  <si>
    <t xml:space="preserve">FORTY  FIVE </t>
  </si>
  <si>
    <t>FORTY SIX</t>
  </si>
  <si>
    <t>FORTY SEVEN</t>
  </si>
  <si>
    <t>FORTY EIGHT</t>
  </si>
  <si>
    <t>FORTY NINE</t>
  </si>
  <si>
    <t>FIFTY</t>
  </si>
  <si>
    <t xml:space="preserve">FIFTY ONE </t>
  </si>
  <si>
    <t>FIFTY TWO</t>
  </si>
  <si>
    <t>FIFTY THREE</t>
  </si>
  <si>
    <t>FIFTY  FOUR</t>
  </si>
  <si>
    <t xml:space="preserve">FIFTY  FIVE </t>
  </si>
  <si>
    <t>FIFTY SIX</t>
  </si>
  <si>
    <t>FIFTY SEVEN</t>
  </si>
  <si>
    <t>FIFTY EIGHT</t>
  </si>
  <si>
    <t>FIFTY NINE</t>
  </si>
  <si>
    <t>SIXTY</t>
  </si>
  <si>
    <t xml:space="preserve">SIXTY ONE </t>
  </si>
  <si>
    <t>SIXTY TWO</t>
  </si>
  <si>
    <t>SIXTY THREE</t>
  </si>
  <si>
    <t>SIXTY  FOUR</t>
  </si>
  <si>
    <t xml:space="preserve">SIXTY  FIVE </t>
  </si>
  <si>
    <t>SIXTY SIX</t>
  </si>
  <si>
    <t>SIXTY SEVEN</t>
  </si>
  <si>
    <t>SIXTY EIGHT</t>
  </si>
  <si>
    <t>SIXTY NINE</t>
  </si>
  <si>
    <t>SEVENTY</t>
  </si>
  <si>
    <t xml:space="preserve">SEVENTY ONE </t>
  </si>
  <si>
    <t>SEVENTY TWO</t>
  </si>
  <si>
    <t>SEVENTY THREE</t>
  </si>
  <si>
    <t>SEVENTY  FOUR</t>
  </si>
  <si>
    <t xml:space="preserve">SEVENTY  FIVE </t>
  </si>
  <si>
    <t>SEVENTY SIX</t>
  </si>
  <si>
    <t>SEVENTY SEVEN</t>
  </si>
  <si>
    <t>SEVENTY EIGHT</t>
  </si>
  <si>
    <t>SEVENTY NINE</t>
  </si>
  <si>
    <t>EIGHTY</t>
  </si>
  <si>
    <t xml:space="preserve">EIGHTY ONE </t>
  </si>
  <si>
    <t>EIGHTY TWO</t>
  </si>
  <si>
    <t>EIGHTY THREE</t>
  </si>
  <si>
    <t>EIGHTY  FOUR</t>
  </si>
  <si>
    <t xml:space="preserve">EIGHTY  FIVE </t>
  </si>
  <si>
    <t>EIGHTY SIX</t>
  </si>
  <si>
    <t>EIGHTY SEVEN</t>
  </si>
  <si>
    <t>EIGHTY EIGHT</t>
  </si>
  <si>
    <t>EIGHTY NINE</t>
  </si>
  <si>
    <t>NINETY</t>
  </si>
  <si>
    <t xml:space="preserve">NINETY ONE </t>
  </si>
  <si>
    <t>NINETY TWO</t>
  </si>
  <si>
    <t>NINETY THREE</t>
  </si>
  <si>
    <t>NINETY  FOUR</t>
  </si>
  <si>
    <t xml:space="preserve">NINETY  FIVE </t>
  </si>
  <si>
    <t>NINETY SIX</t>
  </si>
  <si>
    <t>NINETY SEVEN</t>
  </si>
  <si>
    <t>NINETY EIGHT</t>
  </si>
  <si>
    <t>NINETY NINE</t>
  </si>
  <si>
    <t>DDO</t>
  </si>
  <si>
    <t>H.M</t>
  </si>
  <si>
    <t>Aggregate of Deductible Amounts U/Chapter VIA (A+B)</t>
  </si>
  <si>
    <t>Full Name:</t>
  </si>
  <si>
    <t>Designation:</t>
  </si>
  <si>
    <t>DDO Father Name</t>
  </si>
  <si>
    <t xml:space="preserve"> A.Subba Rao  </t>
  </si>
  <si>
    <t>SA(BS)</t>
  </si>
  <si>
    <t>SA(SS)</t>
  </si>
  <si>
    <t>SA (Maths)</t>
  </si>
  <si>
    <t>P.D</t>
  </si>
  <si>
    <t>PAN NO:</t>
  </si>
  <si>
    <t>Certificate under section 203 of the Income-tax Act, 1961 for Tax deducted at source on Salary</t>
  </si>
  <si>
    <t>PAN No. of DDO</t>
  </si>
  <si>
    <t>CIT (TDS)</t>
  </si>
  <si>
    <t>Address :</t>
  </si>
  <si>
    <t>Summery of Tax Deduction at source</t>
  </si>
  <si>
    <t>Receipt Numbers of original statements of TDS under sub-section (3) of section 200</t>
  </si>
  <si>
    <t>Amount of tax deposited/ remitted in respect of the employee</t>
  </si>
  <si>
    <t>PART B (Refer Note 1)</t>
  </si>
  <si>
    <t>(as per Form No. 12BB, Wherver applicable)</t>
  </si>
  <si>
    <t>PAN of the  Employee</t>
  </si>
  <si>
    <t>TAN No.of DDO</t>
  </si>
  <si>
    <t>deducted   at  source   and  paid  to  the credit  of the central Government.   I  further certify  that  the  Informtion givin above is true and  correct based on the books of account, documents, TDS statement, TDS deposited and other available records.</t>
  </si>
  <si>
    <t>Eligible Deductible Amounts U/Chapter VIA (A+B)</t>
  </si>
  <si>
    <t>TAN No</t>
  </si>
  <si>
    <t>HYDZ00524G</t>
  </si>
  <si>
    <t>The Commissioner of Income Tax (TDS)</t>
  </si>
  <si>
    <t>MONTH
&amp;
YEAR</t>
  </si>
  <si>
    <t>ZPPF / CPS Amount</t>
  </si>
  <si>
    <t>Select ZPPF / CPS</t>
  </si>
  <si>
    <t>* Select 1 for ZPPF/GPF
** Select 2 for CPS</t>
  </si>
  <si>
    <r>
      <rPr>
        <b/>
        <sz val="12"/>
        <color indexed="40"/>
        <rFont val="Arial"/>
        <family val="2"/>
      </rPr>
      <t>FILL UP THE DATA IN</t>
    </r>
    <r>
      <rPr>
        <b/>
        <sz val="12"/>
        <color indexed="10"/>
        <rFont val="Arial"/>
        <family val="2"/>
      </rPr>
      <t xml:space="preserve"> </t>
    </r>
    <r>
      <rPr>
        <b/>
        <sz val="12"/>
        <color indexed="17"/>
        <rFont val="Arial"/>
        <family val="2"/>
      </rPr>
      <t>GREEN</t>
    </r>
    <r>
      <rPr>
        <b/>
        <sz val="12"/>
        <color indexed="10"/>
        <rFont val="Arial"/>
        <family val="2"/>
      </rPr>
      <t xml:space="preserve"> </t>
    </r>
    <r>
      <rPr>
        <b/>
        <sz val="12"/>
        <color indexed="40"/>
        <rFont val="Arial"/>
        <family val="2"/>
      </rPr>
      <t>CELLS BELOW</t>
    </r>
  </si>
  <si>
    <t>Important</t>
  </si>
  <si>
    <t>Other Arrears</t>
  </si>
  <si>
    <t>Own / Rented House</t>
  </si>
  <si>
    <t>RAJIV GANDHI EQUITY SAVING SCHEME</t>
  </si>
  <si>
    <t>No of Days of SL</t>
  </si>
  <si>
    <t>Surrender Leave taken or not</t>
  </si>
  <si>
    <t>A.Subbaiah</t>
  </si>
  <si>
    <t>x) Equity Shares</t>
  </si>
  <si>
    <t>1st DA</t>
  </si>
  <si>
    <t>2nd DA</t>
  </si>
  <si>
    <t>IR</t>
  </si>
  <si>
    <t>Basic Pay as on JAN-2013</t>
  </si>
  <si>
    <t>Basic Pay as on FEB-13</t>
  </si>
  <si>
    <t>Basic Pay as on MAR-13</t>
  </si>
  <si>
    <t>INCOME TAX CALCULATION FOR THE YEAR 2013-14</t>
  </si>
  <si>
    <t>Mar-2013</t>
  </si>
  <si>
    <t>April-2013</t>
  </si>
  <si>
    <t>May-2013</t>
  </si>
  <si>
    <t>June-2013</t>
  </si>
  <si>
    <t>July-2013</t>
  </si>
  <si>
    <t>Aug-2013</t>
  </si>
  <si>
    <t>Sept-2013</t>
  </si>
  <si>
    <t>Oct-2013</t>
  </si>
  <si>
    <t>Nov-2013</t>
  </si>
  <si>
    <t>Dec-2013</t>
  </si>
  <si>
    <t>Jan-2014</t>
  </si>
  <si>
    <t>Feb-2014</t>
  </si>
  <si>
    <t>b) Interest on Housing loan(U/S 24(B)</t>
  </si>
  <si>
    <t>G) RAJIV GANDHI EQUITY SAVING SCHEME (Max Rs.25000)80CCG</t>
  </si>
  <si>
    <t>Deductions U/S 80C (Max.Rs.1,00,000)</t>
  </si>
  <si>
    <t>Deductions U/S chapter VI -A</t>
  </si>
  <si>
    <t>Total (U/S 80C)</t>
  </si>
  <si>
    <t>80EE</t>
  </si>
  <si>
    <t>TAX Rebate U/S 87A (Max:Rs 2000) below income Rs 500000</t>
  </si>
  <si>
    <t>TOTAL DEDUCTIONS 80C + CHAPTER VI A</t>
  </si>
  <si>
    <t>Rent=</t>
  </si>
  <si>
    <t>2014-2015</t>
  </si>
  <si>
    <t xml:space="preserve">          (b)Tax paid by the employer on behalf of the</t>
  </si>
  <si>
    <t>vii) Fixed Deposit above 5 years</t>
  </si>
  <si>
    <t>Fixed Deposit above 5 years</t>
  </si>
  <si>
    <t>Tution Fee</t>
  </si>
  <si>
    <t xml:space="preserve"> Bonds</t>
  </si>
  <si>
    <t>Equity Shares</t>
  </si>
  <si>
    <t xml:space="preserve"> Mediclaim Insurance (80-D)</t>
  </si>
  <si>
    <t xml:space="preserve"> Exception on PHC dependent (80DD)</t>
  </si>
  <si>
    <t>Exp. On Medical Treatment</t>
  </si>
  <si>
    <t>Sainic welfare fund</t>
  </si>
  <si>
    <t>Employees welfare fund</t>
  </si>
  <si>
    <t>Other donations if any</t>
  </si>
  <si>
    <t>80E ( Interest paid on Education Loan )</t>
  </si>
  <si>
    <t>Housing loan additional Interest amount (80EE)</t>
  </si>
  <si>
    <t>Housing loan Interest amount (Max:Rs 1,50,000 )</t>
  </si>
  <si>
    <t xml:space="preserve"> Interest paid for Education Loan 80E</t>
  </si>
  <si>
    <t xml:space="preserve"> RAJIV GANDHI EQUITY SAVING SCHEME (Max Rs.25000)80CCG</t>
  </si>
  <si>
    <t>DA ARREARS
1/2013 to 4/2013</t>
  </si>
  <si>
    <t>ENTER  DA1,DA2,&amp; IR IN ABOVE CELLS</t>
  </si>
  <si>
    <t>March 2013</t>
  </si>
  <si>
    <t>February 2014</t>
  </si>
  <si>
    <t xml:space="preserve"> (17-18)</t>
  </si>
  <si>
    <t>TAX PAYABLE /</t>
  </si>
  <si>
    <t>TAX PAYABLE including Education Cess (12+13+14)</t>
  </si>
  <si>
    <t>NET TAX PAYABLE (15-16)</t>
  </si>
  <si>
    <t>TAX  REFUNDABLE</t>
  </si>
  <si>
    <t>(18-17)</t>
  </si>
  <si>
    <t>PHA</t>
  </si>
  <si>
    <t xml:space="preserve">D.D.O Serial </t>
  </si>
  <si>
    <t>Number/chalana</t>
  </si>
  <si>
    <t>Receipt Number</t>
  </si>
  <si>
    <t>-</t>
  </si>
  <si>
    <t>( Rounded )</t>
  </si>
  <si>
    <t>Amount of tax  deducted in respect of the employee</t>
  </si>
  <si>
    <t xml:space="preserve">LIC Annual Premiums </t>
  </si>
  <si>
    <t xml:space="preserve"> DA w.e.f January 2013</t>
  </si>
  <si>
    <t>Less:(a) Tax deducted at source U/s 192(1)</t>
  </si>
  <si>
    <t xml:space="preserve"> TDS Deductions</t>
  </si>
  <si>
    <t>DA ARREARS 
7/2013 to 09/2013</t>
  </si>
  <si>
    <t>DA for SL</t>
  </si>
  <si>
    <t>IR for SL</t>
  </si>
  <si>
    <t>Unit Linked Insurance Policy</t>
  </si>
  <si>
    <t xml:space="preserve">Insurance Premium (Sum of All Policy No's Annually) </t>
  </si>
  <si>
    <t>Surrender Leave Month</t>
  </si>
  <si>
    <t>for the purpose of DA Arrears Calculation</t>
  </si>
  <si>
    <t>SP</t>
  </si>
  <si>
    <r>
      <t xml:space="preserve">Prepared by: </t>
    </r>
    <r>
      <rPr>
        <b/>
        <i/>
        <sz val="11"/>
        <color indexed="10"/>
        <rFont val="Arial"/>
        <family val="2"/>
      </rPr>
      <t xml:space="preserve">T.PANAKALA REDDY 
STU GUNTUR DIST  </t>
    </r>
    <r>
      <rPr>
        <b/>
        <i/>
        <sz val="10"/>
        <color indexed="48"/>
        <rFont val="Arial"/>
        <family val="2"/>
      </rPr>
      <t xml:space="preserve">
</t>
    </r>
    <r>
      <rPr>
        <b/>
        <i/>
        <sz val="10"/>
        <color indexed="9"/>
        <rFont val="Arial"/>
        <family val="2"/>
      </rPr>
      <t>** if your income is more than 5 Lakhs you should file returns digitally( e-filing)
for e-filing contact 9393632288
or panakalareddytalla@gmail.com</t>
    </r>
  </si>
  <si>
    <t xml:space="preserve"> DA w.e.f July 2013</t>
  </si>
  <si>
    <r>
      <t xml:space="preserve">1) You can modify  DA arrears,Surrender Leave,
Pay fixation arrears,etc directly in </t>
    </r>
    <r>
      <rPr>
        <b/>
        <i/>
        <sz val="9"/>
        <color indexed="17"/>
        <rFont val="Arial"/>
        <family val="2"/>
      </rPr>
      <t>STATEMENT sheet</t>
    </r>
    <r>
      <rPr>
        <b/>
        <i/>
        <sz val="9"/>
        <color indexed="10"/>
        <rFont val="Arial"/>
        <family val="2"/>
      </rPr>
      <t xml:space="preserve"> if neccesary 
</t>
    </r>
    <r>
      <rPr>
        <b/>
        <i/>
        <sz val="9"/>
        <color indexed="10"/>
        <rFont val="Arial"/>
        <family val="2"/>
      </rPr>
      <t xml:space="preserve">2)You can also  modify earnings or deductions in </t>
    </r>
    <r>
      <rPr>
        <b/>
        <i/>
        <sz val="9"/>
        <color indexed="17"/>
        <rFont val="Arial"/>
        <family val="2"/>
      </rPr>
      <t xml:space="preserve">STATEMENT </t>
    </r>
    <r>
      <rPr>
        <b/>
        <i/>
        <sz val="9"/>
        <color indexed="10"/>
        <rFont val="Arial"/>
        <family val="2"/>
      </rPr>
      <t xml:space="preserve">
3) use legal size paper only </t>
    </r>
    <r>
      <rPr>
        <b/>
        <i/>
        <sz val="18"/>
        <color indexed="10"/>
        <rFont val="Arial"/>
        <family val="2"/>
      </rPr>
      <t>*****</t>
    </r>
  </si>
  <si>
    <t>VXYZA1234A</t>
  </si>
  <si>
    <t>KUMAR BABU KUCHIPUDI</t>
  </si>
  <si>
    <t xml:space="preserve"> IR  w.e.f Jan 2014</t>
  </si>
  <si>
    <t>Z.P.H.SCHOOL, RAVELA</t>
  </si>
  <si>
    <t>TADIKONDA MANDAL</t>
  </si>
  <si>
    <r>
      <t xml:space="preserve">Rent Paid per Month
</t>
    </r>
    <r>
      <rPr>
        <sz val="12"/>
        <color indexed="10"/>
        <rFont val="Calibri"/>
        <family val="2"/>
      </rPr>
      <t>*** Important</t>
    </r>
  </si>
  <si>
    <t>PLI /NSC /PPF</t>
  </si>
  <si>
    <t>iv)P.L.I/N.S.C/PPF</t>
  </si>
  <si>
    <t>PLI /NSC/PPF</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</si>
</sst>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 &quot;#,##0_);\(&quot;Rs &quot;#,##0\)"/>
    <numFmt numFmtId="165" formatCode="&quot;Rs &quot;#,##0_);[Red]\(&quot;Rs &quot;#,##0\)"/>
    <numFmt numFmtId="166" formatCode="&quot;Rs &quot;#,##0.00_);\(&quot;Rs &quot;#,##0.00\)"/>
    <numFmt numFmtId="167" formatCode="&quot;Rs &quot;#,##0.00_);[Red]\(&quot;Rs &quot;#,##0.00\)"/>
    <numFmt numFmtId="168" formatCode="_(&quot;Rs &quot;* #,##0_);_(&quot;Rs &quot;* \(#,##0\);_(&quot;Rs &quot;* &quot;-&quot;_);_(@_)"/>
    <numFmt numFmtId="169" formatCode="_(&quot;Rs &quot;* #,##0.00_);_(&quot;Rs &quot;* \(#,##0.00\);_(&quot;Rs &quot;* &quot;-&quot;??_);_(@_)"/>
    <numFmt numFmtId="170" formatCode="mm\-dd"/>
    <numFmt numFmtId="171" formatCode="_-* #,##0_-;\-* #,##0_-;_-* &quot;-&quot;??_-;_-@_-"/>
    <numFmt numFmtId="172" formatCode="[$-409]d\-mmm\-yyyy;@"/>
    <numFmt numFmtId="173" formatCode="_(* #,##0_);_(* \(#,##0\);_(* &quot;-&quot;??_);_(@_)"/>
    <numFmt numFmtId="174" formatCode="0.000"/>
    <numFmt numFmtId="175" formatCode="0.0"/>
    <numFmt numFmtId="176" formatCode="[$-409]dddd\,\ mmmm\ dd\,\ yyyy"/>
    <numFmt numFmtId="177" formatCode="[$-409]h:mm:ss\ AM/PM"/>
    <numFmt numFmtId="178" formatCode="0;[Red]0"/>
  </numFmts>
  <fonts count="139">
    <font>
      <sz val="10"/>
      <name val="Arial"/>
      <family val="0"/>
    </font>
    <font>
      <b/>
      <sz val="10"/>
      <name val="Arial"/>
      <family val="2"/>
    </font>
    <font>
      <sz val="8"/>
      <name val="Arial"/>
      <family val="2"/>
    </font>
    <font>
      <sz val="12"/>
      <name val="Arial"/>
      <family val="2"/>
    </font>
    <font>
      <sz val="11"/>
      <name val="Arial"/>
      <family val="2"/>
    </font>
    <font>
      <b/>
      <sz val="12"/>
      <name val="Arial"/>
      <family val="2"/>
    </font>
    <font>
      <sz val="10"/>
      <name val="Arial Unicode MS"/>
      <family val="2"/>
    </font>
    <font>
      <b/>
      <sz val="10"/>
      <name val="Arial Unicode MS"/>
      <family val="2"/>
    </font>
    <font>
      <sz val="9"/>
      <name val="Arial Unicode MS"/>
      <family val="2"/>
    </font>
    <font>
      <sz val="12"/>
      <name val="Arial Unicode MS"/>
      <family val="2"/>
    </font>
    <font>
      <sz val="8"/>
      <name val="Arial Unicode MS"/>
      <family val="2"/>
    </font>
    <font>
      <sz val="8"/>
      <name val="Tahoma"/>
      <family val="2"/>
    </font>
    <font>
      <i/>
      <sz val="10"/>
      <name val="Arial Unicode MS"/>
      <family val="2"/>
    </font>
    <font>
      <sz val="11"/>
      <color indexed="9"/>
      <name val="Calibri"/>
      <family val="2"/>
    </font>
    <font>
      <sz val="10"/>
      <color indexed="9"/>
      <name val="Arial"/>
      <family val="2"/>
    </font>
    <font>
      <b/>
      <i/>
      <sz val="10"/>
      <color indexed="9"/>
      <name val="Arial"/>
      <family val="2"/>
    </font>
    <font>
      <b/>
      <i/>
      <sz val="9"/>
      <color indexed="9"/>
      <name val="Arial"/>
      <family val="2"/>
    </font>
    <font>
      <sz val="14"/>
      <name val="Arial"/>
      <family val="2"/>
    </font>
    <font>
      <u val="single"/>
      <sz val="10"/>
      <color indexed="12"/>
      <name val="Arial"/>
      <family val="2"/>
    </font>
    <font>
      <u val="single"/>
      <sz val="10"/>
      <color indexed="36"/>
      <name val="Arial"/>
      <family val="2"/>
    </font>
    <font>
      <sz val="10"/>
      <color indexed="13"/>
      <name val="Arial"/>
      <family val="2"/>
    </font>
    <font>
      <b/>
      <sz val="12"/>
      <color indexed="13"/>
      <name val="Arial"/>
      <family val="2"/>
    </font>
    <font>
      <sz val="16"/>
      <name val="Arial"/>
      <family val="2"/>
    </font>
    <font>
      <sz val="11"/>
      <color indexed="8"/>
      <name val="Calibri"/>
      <family val="2"/>
    </font>
    <font>
      <sz val="10"/>
      <name val="Book Antiqua"/>
      <family val="1"/>
    </font>
    <font>
      <sz val="9"/>
      <name val="Book Antiqua"/>
      <family val="1"/>
    </font>
    <font>
      <b/>
      <sz val="10"/>
      <name val="Book Antiqua"/>
      <family val="1"/>
    </font>
    <font>
      <b/>
      <sz val="9"/>
      <name val="Book Antiqua"/>
      <family val="1"/>
    </font>
    <font>
      <b/>
      <sz val="11"/>
      <name val="Book Antiqua"/>
      <family val="1"/>
    </font>
    <font>
      <sz val="11"/>
      <name val="Book Antiqua"/>
      <family val="1"/>
    </font>
    <font>
      <sz val="8"/>
      <name val="Book Antiqua"/>
      <family val="1"/>
    </font>
    <font>
      <sz val="12"/>
      <name val="Book Antiqua"/>
      <family val="1"/>
    </font>
    <font>
      <sz val="18"/>
      <color indexed="8"/>
      <name val="Calibri"/>
      <family val="2"/>
    </font>
    <font>
      <b/>
      <sz val="11"/>
      <name val="Tahoma"/>
      <family val="2"/>
    </font>
    <font>
      <b/>
      <sz val="12"/>
      <color indexed="10"/>
      <name val="Arial"/>
      <family val="2"/>
    </font>
    <font>
      <b/>
      <sz val="12"/>
      <color indexed="17"/>
      <name val="Arial"/>
      <family val="2"/>
    </font>
    <font>
      <b/>
      <sz val="12"/>
      <color indexed="40"/>
      <name val="Arial"/>
      <family val="2"/>
    </font>
    <font>
      <b/>
      <i/>
      <sz val="10"/>
      <name val="Arial"/>
      <family val="2"/>
    </font>
    <font>
      <sz val="9"/>
      <name val="Tahoma"/>
      <family val="2"/>
    </font>
    <font>
      <b/>
      <sz val="9"/>
      <name val="Tahoma"/>
      <family val="2"/>
    </font>
    <font>
      <b/>
      <sz val="10"/>
      <name val="Tahoma"/>
      <family val="2"/>
    </font>
    <font>
      <sz val="10"/>
      <name val="Tahoma"/>
      <family val="2"/>
    </font>
    <font>
      <sz val="36"/>
      <name val="Arial"/>
      <family val="2"/>
    </font>
    <font>
      <sz val="28"/>
      <name val="Arial"/>
      <family val="2"/>
    </font>
    <font>
      <b/>
      <sz val="36"/>
      <name val="Arial"/>
      <family val="2"/>
    </font>
    <font>
      <b/>
      <sz val="14"/>
      <name val="Tahoma"/>
      <family val="2"/>
    </font>
    <font>
      <b/>
      <sz val="16"/>
      <name val="Tahoma"/>
      <family val="2"/>
    </font>
    <font>
      <b/>
      <sz val="28"/>
      <name val="Arial"/>
      <family val="2"/>
    </font>
    <font>
      <u val="single"/>
      <sz val="12"/>
      <name val="Arial"/>
      <family val="2"/>
    </font>
    <font>
      <sz val="9"/>
      <name val="Arial"/>
      <family val="2"/>
    </font>
    <font>
      <b/>
      <sz val="14"/>
      <name val="Arial"/>
      <family val="2"/>
    </font>
    <font>
      <b/>
      <i/>
      <sz val="10"/>
      <color indexed="48"/>
      <name val="Arial"/>
      <family val="2"/>
    </font>
    <font>
      <b/>
      <i/>
      <sz val="11"/>
      <color indexed="10"/>
      <name val="Arial"/>
      <family val="2"/>
    </font>
    <font>
      <b/>
      <i/>
      <sz val="9"/>
      <color indexed="10"/>
      <name val="Arial"/>
      <family val="2"/>
    </font>
    <font>
      <b/>
      <sz val="11"/>
      <color indexed="9"/>
      <name val="Calibri"/>
      <family val="2"/>
    </font>
    <font>
      <b/>
      <sz val="9"/>
      <color indexed="10"/>
      <name val="Tahoma"/>
      <family val="2"/>
    </font>
    <font>
      <b/>
      <i/>
      <sz val="9"/>
      <color indexed="17"/>
      <name val="Arial"/>
      <family val="2"/>
    </font>
    <font>
      <b/>
      <i/>
      <sz val="18"/>
      <color indexed="10"/>
      <name val="Arial"/>
      <family val="2"/>
    </font>
    <font>
      <sz val="12"/>
      <color indexed="10"/>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7"/>
      <name val="Calibri"/>
      <family val="2"/>
    </font>
    <font>
      <b/>
      <sz val="11"/>
      <color indexed="17"/>
      <name val="Arial"/>
      <family val="2"/>
    </font>
    <font>
      <b/>
      <sz val="18"/>
      <color indexed="14"/>
      <name val="Calibri"/>
      <family val="2"/>
    </font>
    <font>
      <b/>
      <sz val="20"/>
      <color indexed="14"/>
      <name val="Calibri"/>
      <family val="2"/>
    </font>
    <font>
      <sz val="10"/>
      <color indexed="40"/>
      <name val="Arial"/>
      <family val="2"/>
    </font>
    <font>
      <sz val="16"/>
      <color indexed="9"/>
      <name val="Calibri"/>
      <family val="2"/>
    </font>
    <font>
      <sz val="18"/>
      <color indexed="9"/>
      <name val="Calibri"/>
      <family val="2"/>
    </font>
    <font>
      <b/>
      <i/>
      <sz val="22"/>
      <color indexed="9"/>
      <name val="Arial"/>
      <family val="2"/>
    </font>
    <font>
      <sz val="10"/>
      <color indexed="10"/>
      <name val="Arial"/>
      <family val="2"/>
    </font>
    <font>
      <sz val="24"/>
      <color indexed="8"/>
      <name val="Arial"/>
      <family val="2"/>
    </font>
    <font>
      <strike/>
      <sz val="11"/>
      <color indexed="8"/>
      <name val="Calibri"/>
      <family val="2"/>
    </font>
    <font>
      <sz val="11"/>
      <name val="Calibri"/>
      <family val="2"/>
    </font>
    <font>
      <sz val="12"/>
      <color indexed="9"/>
      <name val="Calibri"/>
      <family val="2"/>
    </font>
    <font>
      <b/>
      <i/>
      <sz val="20"/>
      <color indexed="10"/>
      <name val="Arial"/>
      <family val="2"/>
    </font>
    <font>
      <sz val="12"/>
      <color indexed="13"/>
      <name val="Calibri"/>
      <family val="2"/>
    </font>
    <font>
      <b/>
      <sz val="14"/>
      <color indexed="10"/>
      <name val="Arial"/>
      <family val="2"/>
    </font>
    <font>
      <b/>
      <sz val="10"/>
      <color indexed="9"/>
      <name val="Arial"/>
      <family val="2"/>
    </font>
    <font>
      <b/>
      <sz val="26"/>
      <color indexed="13"/>
      <name val="Calibri"/>
      <family val="2"/>
    </font>
    <font>
      <sz val="26"/>
      <color indexed="9"/>
      <name val="Calibri"/>
      <family val="2"/>
    </font>
    <font>
      <b/>
      <sz val="11"/>
      <color indexed="10"/>
      <name val="Calibri"/>
      <family val="2"/>
    </font>
    <font>
      <b/>
      <i/>
      <sz val="14"/>
      <color indexed="10"/>
      <name val="Arial"/>
      <family val="2"/>
    </font>
    <font>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B050"/>
      <name val="Calibri"/>
      <family val="2"/>
    </font>
    <font>
      <b/>
      <sz val="11"/>
      <color rgb="FF00B050"/>
      <name val="Arial"/>
      <family val="2"/>
    </font>
    <font>
      <sz val="11"/>
      <color rgb="FF00B050"/>
      <name val="Calibri"/>
      <family val="2"/>
    </font>
    <font>
      <b/>
      <sz val="18"/>
      <color rgb="FFF33FD9"/>
      <name val="Calibri"/>
      <family val="2"/>
    </font>
    <font>
      <b/>
      <sz val="20"/>
      <color rgb="FFF33FD9"/>
      <name val="Calibri"/>
      <family val="2"/>
    </font>
    <font>
      <sz val="10"/>
      <color rgb="FF00B0F0"/>
      <name val="Arial"/>
      <family val="2"/>
    </font>
    <font>
      <sz val="16"/>
      <color theme="0"/>
      <name val="Calibri"/>
      <family val="2"/>
    </font>
    <font>
      <sz val="18"/>
      <color theme="0"/>
      <name val="Calibri"/>
      <family val="2"/>
    </font>
    <font>
      <b/>
      <i/>
      <sz val="10"/>
      <color theme="0"/>
      <name val="Arial"/>
      <family val="2"/>
    </font>
    <font>
      <b/>
      <i/>
      <sz val="22"/>
      <color theme="0"/>
      <name val="Arial"/>
      <family val="2"/>
    </font>
    <font>
      <sz val="10"/>
      <color rgb="FFFF0000"/>
      <name val="Arial"/>
      <family val="2"/>
    </font>
    <font>
      <sz val="24"/>
      <color theme="1"/>
      <name val="Arial"/>
      <family val="2"/>
    </font>
    <font>
      <strike/>
      <sz val="11"/>
      <color theme="1"/>
      <name val="Calibri"/>
      <family val="2"/>
    </font>
    <font>
      <sz val="12"/>
      <color theme="0"/>
      <name val="Calibri"/>
      <family val="2"/>
    </font>
    <font>
      <b/>
      <i/>
      <sz val="20"/>
      <color rgb="FFFF0000"/>
      <name val="Arial"/>
      <family val="2"/>
    </font>
    <font>
      <sz val="12"/>
      <color rgb="FFFFFF00"/>
      <name val="Calibri"/>
      <family val="2"/>
    </font>
    <font>
      <b/>
      <sz val="11"/>
      <color rgb="FFFF0000"/>
      <name val="Calibri"/>
      <family val="2"/>
    </font>
    <font>
      <b/>
      <i/>
      <sz val="9"/>
      <color rgb="FFFF0000"/>
      <name val="Arial"/>
      <family val="2"/>
    </font>
    <font>
      <b/>
      <i/>
      <sz val="14"/>
      <color rgb="FFFF0000"/>
      <name val="Arial"/>
      <family val="2"/>
    </font>
    <font>
      <b/>
      <sz val="12"/>
      <color rgb="FFFF0000"/>
      <name val="Arial"/>
      <family val="2"/>
    </font>
    <font>
      <b/>
      <i/>
      <sz val="10"/>
      <color rgb="FF6C72E6"/>
      <name val="Arial"/>
      <family val="2"/>
    </font>
    <font>
      <sz val="26"/>
      <color theme="0"/>
      <name val="Calibri"/>
      <family val="2"/>
    </font>
    <font>
      <b/>
      <sz val="26"/>
      <color rgb="FFFFFF00"/>
      <name val="Calibri"/>
      <family val="2"/>
    </font>
    <font>
      <b/>
      <sz val="10"/>
      <color theme="0"/>
      <name val="Arial"/>
      <family val="2"/>
    </font>
    <font>
      <b/>
      <sz val="14"/>
      <color rgb="FFFF0000"/>
      <name val="Arial"/>
      <family val="2"/>
    </font>
    <font>
      <sz val="14"/>
      <color theme="1"/>
      <name val="Calibri"/>
      <family val="2"/>
    </font>
    <font>
      <b/>
      <sz val="8"/>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43"/>
        <bgColor indexed="64"/>
      </patternFill>
    </fill>
    <fill>
      <patternFill patternType="solid">
        <fgColor rgb="FFFFFF00"/>
        <bgColor indexed="64"/>
      </patternFill>
    </fill>
    <fill>
      <patternFill patternType="solid">
        <fgColor rgb="FF97D256"/>
        <bgColor indexed="64"/>
      </patternFill>
    </fill>
    <fill>
      <patternFill patternType="solid">
        <fgColor rgb="FF0070C0"/>
        <bgColor indexed="64"/>
      </patternFill>
    </fill>
    <fill>
      <patternFill patternType="solid">
        <fgColor rgb="FF97D256"/>
        <bgColor indexed="64"/>
      </patternFill>
    </fill>
    <fill>
      <patternFill patternType="solid">
        <fgColor theme="0"/>
        <bgColor indexed="64"/>
      </patternFill>
    </fill>
    <fill>
      <patternFill patternType="solid">
        <fgColor rgb="FF00B050"/>
        <bgColor indexed="64"/>
      </patternFill>
    </fill>
    <fill>
      <patternFill patternType="solid">
        <fgColor theme="3" tint="0.39998000860214233"/>
        <bgColor indexed="64"/>
      </patternFill>
    </fill>
    <fill>
      <patternFill patternType="solid">
        <fgColor rgb="FF92D050"/>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3" tint="-0.4999699890613556"/>
        <bgColor indexed="64"/>
      </patternFill>
    </fill>
    <fill>
      <patternFill patternType="solid">
        <fgColor rgb="FFFFFF00"/>
        <bgColor indexed="64"/>
      </patternFill>
    </fill>
    <fill>
      <patternFill patternType="solid">
        <fgColor theme="1"/>
        <bgColor indexed="64"/>
      </patternFill>
    </fill>
    <fill>
      <patternFill patternType="solid">
        <fgColor theme="1"/>
        <bgColor indexed="64"/>
      </patternFill>
    </fill>
    <fill>
      <patternFill patternType="solid">
        <fgColor indexed="31"/>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top/>
      <bottom style="hair"/>
    </border>
    <border>
      <left/>
      <right style="thin"/>
      <top/>
      <bottom style="hair"/>
    </border>
    <border>
      <left style="thin"/>
      <right/>
      <top style="hair"/>
      <bottom style="hair"/>
    </border>
    <border>
      <left/>
      <right style="thin"/>
      <top style="hair"/>
      <bottom style="hair"/>
    </border>
    <border>
      <left style="thin"/>
      <right/>
      <top style="hair"/>
      <bottom/>
    </border>
    <border>
      <left/>
      <right style="thin"/>
      <top style="hair"/>
      <bottom/>
    </border>
    <border>
      <left style="thin"/>
      <right/>
      <top style="hair"/>
      <bottom style="thin"/>
    </border>
    <border>
      <left/>
      <right style="thin"/>
      <top style="hair"/>
      <bottom style="thin"/>
    </border>
    <border>
      <left/>
      <right/>
      <top style="hair"/>
      <bottom style="hair"/>
    </border>
    <border>
      <left style="thin"/>
      <right>
        <color indexed="63"/>
      </right>
      <top>
        <color indexed="63"/>
      </top>
      <bottom style="thin"/>
    </border>
    <border>
      <left style="thin"/>
      <right/>
      <top style="thin"/>
      <bottom style="hair"/>
    </border>
    <border>
      <left/>
      <right/>
      <top style="hair"/>
      <bottom/>
    </border>
    <border>
      <left style="thin"/>
      <right>
        <color indexed="63"/>
      </right>
      <top style="thin"/>
      <bottom>
        <color indexed="63"/>
      </bottom>
    </border>
    <border>
      <left/>
      <right style="thin"/>
      <top style="thin"/>
      <bottom style="hair"/>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right/>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26" borderId="0" applyNumberFormat="0" applyBorder="0" applyAlignment="0" applyProtection="0"/>
    <xf numFmtId="0" fontId="98" fillId="27" borderId="1" applyNumberFormat="0" applyAlignment="0" applyProtection="0"/>
    <xf numFmtId="0" fontId="9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0" fillId="0" borderId="0" applyNumberFormat="0" applyFill="0" applyBorder="0" applyAlignment="0" applyProtection="0"/>
    <xf numFmtId="0" fontId="19" fillId="0" borderId="0" applyNumberFormat="0" applyFill="0" applyBorder="0" applyAlignment="0" applyProtection="0"/>
    <xf numFmtId="0" fontId="101" fillId="29"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18" fillId="0" borderId="0" applyNumberFormat="0" applyFill="0" applyBorder="0" applyAlignment="0" applyProtection="0"/>
    <xf numFmtId="0" fontId="105" fillId="30" borderId="1" applyNumberFormat="0" applyAlignment="0" applyProtection="0"/>
    <xf numFmtId="0" fontId="106" fillId="0" borderId="6" applyNumberFormat="0" applyFill="0" applyAlignment="0" applyProtection="0"/>
    <xf numFmtId="0" fontId="107" fillId="31" borderId="0" applyNumberFormat="0" applyBorder="0" applyAlignment="0" applyProtection="0"/>
    <xf numFmtId="0" fontId="95" fillId="0" borderId="0">
      <alignment/>
      <protection/>
    </xf>
    <xf numFmtId="0" fontId="0" fillId="32" borderId="7" applyNumberFormat="0" applyFont="0" applyAlignment="0" applyProtection="0"/>
    <xf numFmtId="0" fontId="108" fillId="27" borderId="8" applyNumberFormat="0" applyAlignment="0" applyProtection="0"/>
    <xf numFmtId="9" fontId="0" fillId="0" borderId="0" applyFont="0" applyFill="0" applyBorder="0" applyAlignment="0" applyProtection="0"/>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463">
    <xf numFmtId="0" fontId="0" fillId="0" borderId="0" xfId="0" applyAlignment="1">
      <alignment/>
    </xf>
    <xf numFmtId="0" fontId="0" fillId="0" borderId="0" xfId="0" applyAlignment="1">
      <alignment horizontal="center"/>
    </xf>
    <xf numFmtId="0" fontId="0" fillId="0" borderId="0" xfId="0" applyAlignment="1">
      <alignment vertical="center"/>
    </xf>
    <xf numFmtId="0" fontId="1" fillId="0" borderId="0" xfId="0" applyFont="1" applyAlignment="1">
      <alignment/>
    </xf>
    <xf numFmtId="0" fontId="3" fillId="0" borderId="0" xfId="0" applyFont="1" applyAlignment="1">
      <alignment horizontal="center"/>
    </xf>
    <xf numFmtId="0" fontId="96" fillId="33" borderId="0" xfId="34" applyFill="1" applyAlignment="1">
      <alignment horizontal="center"/>
    </xf>
    <xf numFmtId="0" fontId="0" fillId="34" borderId="0" xfId="0" applyFill="1" applyAlignment="1">
      <alignment/>
    </xf>
    <xf numFmtId="0" fontId="4" fillId="0" borderId="0" xfId="0" applyFont="1" applyAlignment="1">
      <alignment/>
    </xf>
    <xf numFmtId="0" fontId="6" fillId="0" borderId="10" xfId="0" applyFont="1" applyBorder="1" applyAlignment="1">
      <alignment horizontal="center" vertical="center" wrapText="1"/>
    </xf>
    <xf numFmtId="0" fontId="6" fillId="0" borderId="0" xfId="0" applyFont="1" applyAlignment="1">
      <alignment/>
    </xf>
    <xf numFmtId="0" fontId="6" fillId="0" borderId="0" xfId="0" applyFont="1" applyAlignment="1">
      <alignment horizontal="center" vertical="center" wrapText="1"/>
    </xf>
    <xf numFmtId="0" fontId="6" fillId="0" borderId="10" xfId="0" applyFont="1" applyBorder="1" applyAlignment="1">
      <alignment horizontal="center" vertical="center"/>
    </xf>
    <xf numFmtId="0" fontId="6" fillId="0" borderId="0" xfId="0" applyFont="1" applyAlignment="1">
      <alignment vertical="center"/>
    </xf>
    <xf numFmtId="0" fontId="6" fillId="0" borderId="10" xfId="0" applyFont="1" applyBorder="1" applyAlignment="1">
      <alignment/>
    </xf>
    <xf numFmtId="0" fontId="6" fillId="0" borderId="10" xfId="0" applyFont="1" applyBorder="1" applyAlignment="1">
      <alignment horizontal="center"/>
    </xf>
    <xf numFmtId="1" fontId="6" fillId="0" borderId="0" xfId="0" applyNumberFormat="1" applyFont="1" applyAlignment="1">
      <alignment/>
    </xf>
    <xf numFmtId="0" fontId="2" fillId="0" borderId="0" xfId="0" applyFont="1" applyFill="1" applyBorder="1" applyAlignment="1">
      <alignment vertical="center" wrapText="1"/>
    </xf>
    <xf numFmtId="0" fontId="0" fillId="0" borderId="0" xfId="0" applyBorder="1" applyAlignment="1">
      <alignment/>
    </xf>
    <xf numFmtId="0" fontId="9" fillId="0" borderId="11" xfId="0" applyFont="1" applyBorder="1" applyAlignment="1">
      <alignment horizontal="center"/>
    </xf>
    <xf numFmtId="0" fontId="6" fillId="0" borderId="0" xfId="0" applyFont="1" applyBorder="1" applyAlignment="1">
      <alignment/>
    </xf>
    <xf numFmtId="0" fontId="7" fillId="0" borderId="0" xfId="0" applyFont="1" applyBorder="1" applyAlignment="1">
      <alignment/>
    </xf>
    <xf numFmtId="0" fontId="6" fillId="0" borderId="12" xfId="0" applyFont="1" applyBorder="1" applyAlignment="1">
      <alignment/>
    </xf>
    <xf numFmtId="0" fontId="7" fillId="0" borderId="0" xfId="0" applyFont="1" applyBorder="1" applyAlignment="1">
      <alignment horizontal="left"/>
    </xf>
    <xf numFmtId="0" fontId="6" fillId="0" borderId="0" xfId="0" applyFont="1" applyBorder="1" applyAlignment="1">
      <alignment horizontal="left"/>
    </xf>
    <xf numFmtId="1" fontId="6" fillId="0" borderId="0" xfId="0" applyNumberFormat="1" applyFont="1" applyBorder="1" applyAlignment="1">
      <alignment horizontal="left"/>
    </xf>
    <xf numFmtId="0" fontId="10" fillId="0" borderId="0" xfId="0" applyFont="1" applyBorder="1" applyAlignment="1">
      <alignment/>
    </xf>
    <xf numFmtId="0" fontId="3" fillId="0" borderId="11" xfId="0" applyFont="1" applyBorder="1" applyAlignment="1">
      <alignment horizontal="center"/>
    </xf>
    <xf numFmtId="0" fontId="1" fillId="0" borderId="0" xfId="0" applyFont="1" applyBorder="1" applyAlignment="1">
      <alignment/>
    </xf>
    <xf numFmtId="0" fontId="0" fillId="0" borderId="12" xfId="0" applyBorder="1" applyAlignment="1">
      <alignment/>
    </xf>
    <xf numFmtId="0" fontId="1" fillId="0" borderId="13" xfId="0" applyFont="1" applyBorder="1" applyAlignment="1">
      <alignment/>
    </xf>
    <xf numFmtId="0" fontId="0" fillId="0" borderId="13" xfId="0" applyBorder="1" applyAlignment="1">
      <alignment/>
    </xf>
    <xf numFmtId="0" fontId="0" fillId="0" borderId="14" xfId="0" applyBorder="1" applyAlignment="1">
      <alignment/>
    </xf>
    <xf numFmtId="0" fontId="10" fillId="0" borderId="10" xfId="0" applyFont="1" applyBorder="1" applyAlignment="1">
      <alignment horizontal="center" vertical="center" wrapText="1"/>
    </xf>
    <xf numFmtId="0" fontId="20" fillId="0" borderId="0" xfId="0" applyFont="1" applyAlignment="1">
      <alignment/>
    </xf>
    <xf numFmtId="0" fontId="0" fillId="0" borderId="0" xfId="0" applyFont="1" applyAlignment="1">
      <alignment horizontal="center"/>
    </xf>
    <xf numFmtId="0" fontId="8" fillId="0" borderId="10" xfId="0" applyFont="1" applyBorder="1" applyAlignment="1">
      <alignment horizontal="center" vertical="center" wrapText="1"/>
    </xf>
    <xf numFmtId="49" fontId="6" fillId="0" borderId="10" xfId="0" applyNumberFormat="1" applyFont="1" applyBorder="1" applyAlignment="1">
      <alignment horizontal="center" vertical="center"/>
    </xf>
    <xf numFmtId="0" fontId="95" fillId="0" borderId="0" xfId="57">
      <alignment/>
      <protection/>
    </xf>
    <xf numFmtId="0" fontId="24" fillId="0" borderId="0" xfId="57" applyFont="1" applyBorder="1" applyAlignment="1" applyProtection="1">
      <alignment horizontal="center" vertical="center"/>
      <protection hidden="1"/>
    </xf>
    <xf numFmtId="0" fontId="28" fillId="0" borderId="11" xfId="57" applyFont="1" applyBorder="1" applyAlignment="1" applyProtection="1">
      <alignment horizontal="center" vertical="center"/>
      <protection hidden="1"/>
    </xf>
    <xf numFmtId="0" fontId="25" fillId="0" borderId="0" xfId="57" applyFont="1" applyBorder="1" applyAlignment="1" applyProtection="1">
      <alignment vertical="center"/>
      <protection hidden="1"/>
    </xf>
    <xf numFmtId="0" fontId="25" fillId="0" borderId="15" xfId="57" applyFont="1" applyBorder="1" applyAlignment="1" applyProtection="1">
      <alignment vertical="center"/>
      <protection hidden="1"/>
    </xf>
    <xf numFmtId="41" fontId="24" fillId="0" borderId="16" xfId="57" applyNumberFormat="1" applyFont="1" applyBorder="1" applyAlignment="1" applyProtection="1">
      <alignment vertical="center"/>
      <protection hidden="1"/>
    </xf>
    <xf numFmtId="3" fontId="25" fillId="0" borderId="0" xfId="57" applyNumberFormat="1" applyFont="1" applyBorder="1" applyAlignment="1" applyProtection="1">
      <alignment vertical="center"/>
      <protection hidden="1"/>
    </xf>
    <xf numFmtId="3" fontId="25" fillId="0" borderId="12" xfId="57" applyNumberFormat="1" applyFont="1" applyBorder="1" applyAlignment="1" applyProtection="1">
      <alignment vertical="center"/>
      <protection hidden="1"/>
    </xf>
    <xf numFmtId="0" fontId="24" fillId="0" borderId="11" xfId="57" applyFont="1" applyBorder="1" applyAlignment="1" applyProtection="1">
      <alignment vertical="center"/>
      <protection hidden="1"/>
    </xf>
    <xf numFmtId="0" fontId="24" fillId="0" borderId="0" xfId="57" applyFont="1" applyBorder="1" applyAlignment="1" applyProtection="1">
      <alignment vertical="center"/>
      <protection hidden="1"/>
    </xf>
    <xf numFmtId="0" fontId="25" fillId="0" borderId="17" xfId="57" applyFont="1" applyBorder="1" applyAlignment="1" applyProtection="1">
      <alignment vertical="center"/>
      <protection hidden="1"/>
    </xf>
    <xf numFmtId="41" fontId="24" fillId="0" borderId="18" xfId="57" applyNumberFormat="1" applyFont="1" applyBorder="1" applyAlignment="1" applyProtection="1">
      <alignment vertical="center"/>
      <protection hidden="1"/>
    </xf>
    <xf numFmtId="0" fontId="25" fillId="0" borderId="19" xfId="57" applyFont="1" applyBorder="1" applyAlignment="1" applyProtection="1">
      <alignment vertical="center"/>
      <protection hidden="1"/>
    </xf>
    <xf numFmtId="41" fontId="24" fillId="0" borderId="20" xfId="57" applyNumberFormat="1" applyFont="1" applyBorder="1" applyAlignment="1" applyProtection="1">
      <alignment vertical="center"/>
      <protection hidden="1"/>
    </xf>
    <xf numFmtId="0" fontId="25" fillId="0" borderId="21" xfId="57" applyFont="1" applyBorder="1" applyAlignment="1" applyProtection="1">
      <alignment vertical="center"/>
      <protection hidden="1"/>
    </xf>
    <xf numFmtId="41" fontId="24" fillId="0" borderId="22" xfId="57" applyNumberFormat="1" applyFont="1" applyBorder="1" applyAlignment="1" applyProtection="1">
      <alignment vertical="center"/>
      <protection hidden="1"/>
    </xf>
    <xf numFmtId="0" fontId="28" fillId="0" borderId="0" xfId="57" applyFont="1" applyBorder="1" applyAlignment="1" applyProtection="1">
      <alignment horizontal="left" vertical="center"/>
      <protection hidden="1"/>
    </xf>
    <xf numFmtId="0" fontId="25" fillId="0" borderId="11" xfId="57" applyFont="1" applyBorder="1" applyAlignment="1" applyProtection="1">
      <alignment vertical="center"/>
      <protection hidden="1"/>
    </xf>
    <xf numFmtId="41" fontId="24" fillId="0" borderId="12" xfId="57" applyNumberFormat="1" applyFont="1" applyBorder="1" applyAlignment="1" applyProtection="1">
      <alignment vertical="center"/>
      <protection hidden="1"/>
    </xf>
    <xf numFmtId="41" fontId="24" fillId="0" borderId="0" xfId="57" applyNumberFormat="1" applyFont="1" applyBorder="1" applyAlignment="1" applyProtection="1">
      <alignment vertical="center"/>
      <protection hidden="1"/>
    </xf>
    <xf numFmtId="3" fontId="25" fillId="0" borderId="11" xfId="57" applyNumberFormat="1" applyFont="1" applyBorder="1" applyAlignment="1" applyProtection="1">
      <alignment vertical="center"/>
      <protection hidden="1"/>
    </xf>
    <xf numFmtId="0" fontId="24" fillId="0" borderId="0" xfId="57" applyFont="1" applyBorder="1" applyProtection="1">
      <alignment/>
      <protection hidden="1"/>
    </xf>
    <xf numFmtId="0" fontId="24" fillId="0" borderId="12" xfId="57" applyFont="1" applyBorder="1" applyAlignment="1" applyProtection="1">
      <alignment vertical="center"/>
      <protection hidden="1"/>
    </xf>
    <xf numFmtId="41" fontId="24" fillId="0" borderId="23" xfId="57" applyNumberFormat="1" applyFont="1" applyBorder="1" applyAlignment="1" applyProtection="1">
      <alignment vertical="center"/>
      <protection hidden="1"/>
    </xf>
    <xf numFmtId="3" fontId="25" fillId="0" borderId="24" xfId="57" applyNumberFormat="1" applyFont="1" applyBorder="1" applyAlignment="1" applyProtection="1">
      <alignment vertical="center"/>
      <protection hidden="1"/>
    </xf>
    <xf numFmtId="0" fontId="28" fillId="0" borderId="11" xfId="57" applyFont="1" applyBorder="1" applyAlignment="1" applyProtection="1">
      <alignment vertical="center"/>
      <protection hidden="1"/>
    </xf>
    <xf numFmtId="0" fontId="28" fillId="0" borderId="0" xfId="57" applyFont="1" applyBorder="1" applyAlignment="1" applyProtection="1">
      <alignment vertical="center"/>
      <protection hidden="1"/>
    </xf>
    <xf numFmtId="3" fontId="25" fillId="0" borderId="25" xfId="57" applyNumberFormat="1" applyFont="1" applyBorder="1" applyAlignment="1" applyProtection="1">
      <alignment vertical="center"/>
      <protection hidden="1"/>
    </xf>
    <xf numFmtId="3" fontId="25" fillId="0" borderId="17" xfId="57" applyNumberFormat="1" applyFont="1" applyBorder="1" applyAlignment="1" applyProtection="1">
      <alignment vertical="center"/>
      <protection hidden="1"/>
    </xf>
    <xf numFmtId="3" fontId="25" fillId="0" borderId="21" xfId="57" applyNumberFormat="1" applyFont="1" applyBorder="1" applyAlignment="1" applyProtection="1">
      <alignment vertical="center"/>
      <protection hidden="1"/>
    </xf>
    <xf numFmtId="0" fontId="29" fillId="0" borderId="0" xfId="57" applyFont="1" applyBorder="1" applyAlignment="1" applyProtection="1">
      <alignment vertical="center"/>
      <protection hidden="1"/>
    </xf>
    <xf numFmtId="41" fontId="25" fillId="0" borderId="12" xfId="57" applyNumberFormat="1" applyFont="1" applyBorder="1" applyAlignment="1" applyProtection="1">
      <alignment vertical="center"/>
      <protection hidden="1"/>
    </xf>
    <xf numFmtId="0" fontId="27" fillId="0" borderId="0" xfId="57" applyFont="1" applyBorder="1" applyAlignment="1" applyProtection="1">
      <alignment vertical="center"/>
      <protection hidden="1"/>
    </xf>
    <xf numFmtId="3" fontId="25" fillId="0" borderId="11" xfId="57" applyNumberFormat="1" applyFont="1" applyBorder="1" applyAlignment="1" applyProtection="1">
      <alignment horizontal="right" vertical="center"/>
      <protection hidden="1"/>
    </xf>
    <xf numFmtId="3" fontId="25" fillId="0" borderId="23" xfId="57" applyNumberFormat="1" applyFont="1" applyBorder="1" applyAlignment="1" applyProtection="1">
      <alignment vertical="center"/>
      <protection hidden="1"/>
    </xf>
    <xf numFmtId="3" fontId="25" fillId="0" borderId="26" xfId="57" applyNumberFormat="1" applyFont="1" applyBorder="1" applyAlignment="1" applyProtection="1">
      <alignment vertical="center"/>
      <protection hidden="1"/>
    </xf>
    <xf numFmtId="3" fontId="25" fillId="0" borderId="19" xfId="57" applyNumberFormat="1" applyFont="1" applyBorder="1" applyAlignment="1" applyProtection="1">
      <alignment vertical="center"/>
      <protection hidden="1"/>
    </xf>
    <xf numFmtId="3" fontId="28" fillId="0" borderId="11" xfId="57" applyNumberFormat="1" applyFont="1" applyBorder="1" applyAlignment="1" applyProtection="1">
      <alignment vertical="center"/>
      <protection hidden="1"/>
    </xf>
    <xf numFmtId="3" fontId="30" fillId="0" borderId="11" xfId="57" applyNumberFormat="1" applyFont="1" applyBorder="1" applyAlignment="1" applyProtection="1">
      <alignment horizontal="right" vertical="center"/>
      <protection hidden="1"/>
    </xf>
    <xf numFmtId="3" fontId="28" fillId="0" borderId="0" xfId="57" applyNumberFormat="1" applyFont="1" applyBorder="1" applyAlignment="1" applyProtection="1">
      <alignment vertical="center"/>
      <protection hidden="1"/>
    </xf>
    <xf numFmtId="3" fontId="27" fillId="0" borderId="21" xfId="57" applyNumberFormat="1" applyFont="1" applyBorder="1" applyAlignment="1" applyProtection="1">
      <alignment vertical="center"/>
      <protection hidden="1"/>
    </xf>
    <xf numFmtId="3" fontId="27" fillId="0" borderId="27" xfId="57" applyNumberFormat="1" applyFont="1" applyBorder="1" applyAlignment="1" applyProtection="1">
      <alignment vertical="center"/>
      <protection hidden="1"/>
    </xf>
    <xf numFmtId="0" fontId="27" fillId="0" borderId="24" xfId="57" applyFont="1" applyBorder="1" applyAlignment="1" applyProtection="1">
      <alignment vertical="center"/>
      <protection hidden="1"/>
    </xf>
    <xf numFmtId="0" fontId="27" fillId="0" borderId="13" xfId="57" applyFont="1" applyBorder="1" applyAlignment="1" applyProtection="1">
      <alignment vertical="center"/>
      <protection hidden="1"/>
    </xf>
    <xf numFmtId="0" fontId="25" fillId="0" borderId="13" xfId="57" applyFont="1" applyBorder="1" applyAlignment="1" applyProtection="1">
      <alignment vertical="center"/>
      <protection hidden="1"/>
    </xf>
    <xf numFmtId="0" fontId="25" fillId="0" borderId="14" xfId="57" applyFont="1" applyBorder="1" applyAlignment="1" applyProtection="1">
      <alignment vertical="center"/>
      <protection hidden="1"/>
    </xf>
    <xf numFmtId="0" fontId="25" fillId="0" borderId="24" xfId="57" applyFont="1" applyBorder="1" applyAlignment="1" applyProtection="1">
      <alignment vertical="center"/>
      <protection hidden="1"/>
    </xf>
    <xf numFmtId="0" fontId="24" fillId="0" borderId="0" xfId="57" applyFont="1" applyFill="1" applyBorder="1" applyAlignment="1" applyProtection="1">
      <alignment horizontal="center" vertical="top"/>
      <protection hidden="1"/>
    </xf>
    <xf numFmtId="0" fontId="25" fillId="0" borderId="0" xfId="57" applyFont="1" applyFill="1" applyBorder="1" applyProtection="1">
      <alignment/>
      <protection hidden="1"/>
    </xf>
    <xf numFmtId="0" fontId="25" fillId="0" borderId="0" xfId="57" applyFont="1" applyFill="1" applyBorder="1" applyAlignment="1" applyProtection="1">
      <alignment/>
      <protection hidden="1"/>
    </xf>
    <xf numFmtId="0" fontId="28" fillId="0" borderId="0" xfId="57" applyFont="1" applyFill="1" applyBorder="1" applyAlignment="1" applyProtection="1">
      <alignment vertical="center"/>
      <protection hidden="1"/>
    </xf>
    <xf numFmtId="0" fontId="24" fillId="0" borderId="0" xfId="57" applyFont="1" applyFill="1" applyBorder="1" applyProtection="1">
      <alignment/>
      <protection hidden="1"/>
    </xf>
    <xf numFmtId="0" fontId="24" fillId="0" borderId="0" xfId="57" applyFont="1" applyFill="1" applyBorder="1" applyAlignment="1" applyProtection="1">
      <alignment horizontal="left"/>
      <protection hidden="1"/>
    </xf>
    <xf numFmtId="0" fontId="24" fillId="0" borderId="0" xfId="57" applyFont="1" applyFill="1" applyBorder="1" applyAlignment="1" applyProtection="1">
      <alignment/>
      <protection hidden="1"/>
    </xf>
    <xf numFmtId="0" fontId="25" fillId="0" borderId="0" xfId="57" applyFont="1" applyFill="1" applyBorder="1" applyAlignment="1" applyProtection="1">
      <alignment horizontal="left" vertical="center"/>
      <protection hidden="1"/>
    </xf>
    <xf numFmtId="0" fontId="25" fillId="0" borderId="0" xfId="57" applyFont="1" applyFill="1" applyBorder="1" applyAlignment="1" applyProtection="1">
      <alignment vertical="center"/>
      <protection hidden="1"/>
    </xf>
    <xf numFmtId="0" fontId="24" fillId="0" borderId="0" xfId="57" applyFont="1" applyFill="1" applyBorder="1" applyAlignment="1" applyProtection="1">
      <alignment vertical="center"/>
      <protection hidden="1"/>
    </xf>
    <xf numFmtId="0" fontId="25" fillId="0" borderId="0" xfId="57" applyFont="1" applyFill="1" applyBorder="1" applyAlignment="1" applyProtection="1">
      <alignment horizontal="center"/>
      <protection hidden="1"/>
    </xf>
    <xf numFmtId="0" fontId="25" fillId="0" borderId="0" xfId="57" applyFont="1" applyFill="1" applyBorder="1" applyAlignment="1" applyProtection="1">
      <alignment horizontal="left"/>
      <protection hidden="1"/>
    </xf>
    <xf numFmtId="49" fontId="24" fillId="0" borderId="0" xfId="57" applyNumberFormat="1" applyFont="1" applyFill="1" applyBorder="1" applyAlignment="1" applyProtection="1">
      <alignment horizontal="left"/>
      <protection hidden="1"/>
    </xf>
    <xf numFmtId="41" fontId="26" fillId="0" borderId="12" xfId="57" applyNumberFormat="1" applyFont="1" applyBorder="1" applyAlignment="1" applyProtection="1">
      <alignment vertical="center"/>
      <protection hidden="1"/>
    </xf>
    <xf numFmtId="41" fontId="24" fillId="0" borderId="14" xfId="57" applyNumberFormat="1" applyFont="1" applyBorder="1" applyAlignment="1" applyProtection="1">
      <alignment vertical="center"/>
      <protection hidden="1"/>
    </xf>
    <xf numFmtId="41" fontId="26" fillId="0" borderId="28" xfId="57" applyNumberFormat="1" applyFont="1" applyBorder="1" applyAlignment="1" applyProtection="1">
      <alignment vertical="center"/>
      <protection hidden="1"/>
    </xf>
    <xf numFmtId="0" fontId="28" fillId="0" borderId="11" xfId="57" applyFont="1" applyBorder="1" applyAlignment="1" applyProtection="1">
      <alignment horizontal="right" vertical="center"/>
      <protection hidden="1"/>
    </xf>
    <xf numFmtId="41" fontId="26" fillId="0" borderId="18" xfId="57" applyNumberFormat="1" applyFont="1" applyBorder="1" applyAlignment="1" applyProtection="1">
      <alignment vertical="center"/>
      <protection hidden="1"/>
    </xf>
    <xf numFmtId="41" fontId="26" fillId="0" borderId="22" xfId="57" applyNumberFormat="1" applyFont="1" applyBorder="1" applyAlignment="1" applyProtection="1">
      <alignment vertical="center"/>
      <protection hidden="1"/>
    </xf>
    <xf numFmtId="41" fontId="26" fillId="0" borderId="29" xfId="57" applyNumberFormat="1" applyFont="1" applyBorder="1" applyProtection="1">
      <alignment/>
      <protection hidden="1"/>
    </xf>
    <xf numFmtId="0" fontId="28" fillId="0" borderId="24" xfId="57" applyFont="1" applyBorder="1" applyAlignment="1" applyProtection="1">
      <alignment vertical="center"/>
      <protection hidden="1"/>
    </xf>
    <xf numFmtId="0" fontId="26" fillId="0" borderId="14" xfId="57" applyFont="1" applyBorder="1" applyAlignment="1" applyProtection="1">
      <alignment vertical="center"/>
      <protection hidden="1"/>
    </xf>
    <xf numFmtId="0" fontId="28" fillId="0" borderId="27" xfId="57" applyFont="1" applyBorder="1" applyAlignment="1" applyProtection="1">
      <alignment horizontal="center" vertical="center"/>
      <protection hidden="1"/>
    </xf>
    <xf numFmtId="0" fontId="25" fillId="0" borderId="30" xfId="57" applyFont="1" applyBorder="1" applyAlignment="1" applyProtection="1">
      <alignment vertical="center"/>
      <protection hidden="1"/>
    </xf>
    <xf numFmtId="0" fontId="25" fillId="0" borderId="25" xfId="57" applyFont="1" applyBorder="1" applyAlignment="1" applyProtection="1">
      <alignment vertical="center"/>
      <protection hidden="1"/>
    </xf>
    <xf numFmtId="41" fontId="24" fillId="0" borderId="28" xfId="57" applyNumberFormat="1" applyFont="1" applyBorder="1" applyAlignment="1" applyProtection="1">
      <alignment vertical="center"/>
      <protection hidden="1"/>
    </xf>
    <xf numFmtId="3" fontId="25" fillId="0" borderId="30" xfId="57" applyNumberFormat="1" applyFont="1" applyBorder="1" applyAlignment="1" applyProtection="1">
      <alignment vertical="center"/>
      <protection hidden="1"/>
    </xf>
    <xf numFmtId="3" fontId="25" fillId="0" borderId="29" xfId="57" applyNumberFormat="1" applyFont="1" applyBorder="1" applyAlignment="1" applyProtection="1">
      <alignment vertical="center"/>
      <protection hidden="1"/>
    </xf>
    <xf numFmtId="41" fontId="24" fillId="0" borderId="29" xfId="57" applyNumberFormat="1" applyFont="1" applyBorder="1" applyAlignment="1" applyProtection="1">
      <alignment vertical="center"/>
      <protection hidden="1"/>
    </xf>
    <xf numFmtId="41" fontId="24" fillId="0" borderId="0" xfId="57" applyNumberFormat="1" applyFont="1" applyFill="1" applyBorder="1" applyProtection="1">
      <alignment/>
      <protection hidden="1"/>
    </xf>
    <xf numFmtId="0" fontId="25" fillId="0" borderId="30" xfId="57" applyFont="1" applyFill="1" applyBorder="1" applyAlignment="1" applyProtection="1">
      <alignment horizontal="center" vertical="center"/>
      <protection hidden="1"/>
    </xf>
    <xf numFmtId="0" fontId="25" fillId="0" borderId="30" xfId="57" applyFont="1" applyFill="1" applyBorder="1" applyProtection="1">
      <alignment/>
      <protection hidden="1"/>
    </xf>
    <xf numFmtId="41" fontId="25" fillId="0" borderId="29" xfId="57" applyNumberFormat="1" applyFont="1" applyFill="1" applyBorder="1" applyProtection="1">
      <alignment/>
      <protection hidden="1"/>
    </xf>
    <xf numFmtId="0" fontId="28" fillId="0" borderId="11" xfId="57" applyFont="1" applyFill="1" applyBorder="1" applyAlignment="1" applyProtection="1">
      <alignment horizontal="center"/>
      <protection hidden="1"/>
    </xf>
    <xf numFmtId="41" fontId="25" fillId="0" borderId="12" xfId="57" applyNumberFormat="1" applyFont="1" applyFill="1" applyBorder="1" applyProtection="1">
      <alignment/>
      <protection hidden="1"/>
    </xf>
    <xf numFmtId="0" fontId="29" fillId="0" borderId="11" xfId="57" applyFont="1" applyFill="1" applyBorder="1" applyProtection="1">
      <alignment/>
      <protection hidden="1"/>
    </xf>
    <xf numFmtId="41" fontId="26" fillId="0" borderId="12" xfId="57" applyNumberFormat="1" applyFont="1" applyFill="1" applyBorder="1" applyAlignment="1" applyProtection="1">
      <alignment vertical="center"/>
      <protection hidden="1"/>
    </xf>
    <xf numFmtId="41" fontId="26" fillId="0" borderId="12" xfId="57" applyNumberFormat="1" applyFont="1" applyFill="1" applyBorder="1" applyProtection="1">
      <alignment/>
      <protection hidden="1"/>
    </xf>
    <xf numFmtId="41" fontId="24" fillId="0" borderId="12" xfId="57" applyNumberFormat="1" applyFont="1" applyFill="1" applyBorder="1" applyProtection="1">
      <alignment/>
      <protection hidden="1"/>
    </xf>
    <xf numFmtId="41" fontId="26" fillId="0" borderId="12" xfId="57" applyNumberFormat="1" applyFont="1" applyFill="1" applyBorder="1" applyAlignment="1" applyProtection="1">
      <alignment horizontal="right"/>
      <protection hidden="1"/>
    </xf>
    <xf numFmtId="0" fontId="25" fillId="0" borderId="11" xfId="57" applyFont="1" applyFill="1" applyBorder="1" applyProtection="1">
      <alignment/>
      <protection hidden="1"/>
    </xf>
    <xf numFmtId="0" fontId="25" fillId="0" borderId="12" xfId="57" applyFont="1" applyFill="1" applyBorder="1" applyProtection="1">
      <alignment/>
      <protection hidden="1"/>
    </xf>
    <xf numFmtId="0" fontId="25" fillId="0" borderId="11" xfId="57" applyFont="1" applyFill="1" applyBorder="1" applyAlignment="1" applyProtection="1">
      <alignment horizontal="left"/>
      <protection hidden="1"/>
    </xf>
    <xf numFmtId="0" fontId="25" fillId="0" borderId="12" xfId="57" applyFont="1" applyFill="1" applyBorder="1" applyAlignment="1" applyProtection="1">
      <alignment horizontal="left"/>
      <protection hidden="1"/>
    </xf>
    <xf numFmtId="0" fontId="24" fillId="0" borderId="11" xfId="57" applyFont="1" applyFill="1" applyBorder="1" applyProtection="1">
      <alignment/>
      <protection hidden="1"/>
    </xf>
    <xf numFmtId="0" fontId="24" fillId="0" borderId="12" xfId="57" applyFont="1" applyFill="1" applyBorder="1" applyProtection="1">
      <alignment/>
      <protection hidden="1"/>
    </xf>
    <xf numFmtId="0" fontId="24" fillId="0" borderId="12" xfId="57" applyFont="1" applyFill="1" applyBorder="1" applyAlignment="1" applyProtection="1">
      <alignment/>
      <protection hidden="1"/>
    </xf>
    <xf numFmtId="0" fontId="24" fillId="0" borderId="12" xfId="57" applyFont="1" applyFill="1" applyBorder="1" applyAlignment="1" applyProtection="1">
      <alignment horizontal="left"/>
      <protection hidden="1"/>
    </xf>
    <xf numFmtId="0" fontId="25" fillId="0" borderId="24" xfId="57" applyFont="1" applyFill="1" applyBorder="1">
      <alignment/>
      <protection/>
    </xf>
    <xf numFmtId="0" fontId="25" fillId="0" borderId="13" xfId="57" applyFont="1" applyFill="1" applyBorder="1">
      <alignment/>
      <protection/>
    </xf>
    <xf numFmtId="0" fontId="25" fillId="0" borderId="14" xfId="57" applyFont="1" applyFill="1" applyBorder="1">
      <alignment/>
      <protection/>
    </xf>
    <xf numFmtId="41" fontId="95" fillId="0" borderId="0" xfId="57" applyNumberFormat="1">
      <alignment/>
      <protection/>
    </xf>
    <xf numFmtId="0" fontId="112" fillId="35" borderId="0" xfId="0" applyFont="1" applyFill="1" applyAlignment="1">
      <alignment horizontal="center" vertical="center"/>
    </xf>
    <xf numFmtId="0" fontId="113" fillId="2" borderId="10" xfId="0" applyFont="1" applyFill="1" applyBorder="1" applyAlignment="1" applyProtection="1">
      <alignment vertical="center"/>
      <protection locked="0"/>
    </xf>
    <xf numFmtId="0" fontId="113" fillId="2" borderId="10" xfId="0" applyFont="1" applyFill="1" applyBorder="1" applyAlignment="1" applyProtection="1">
      <alignment vertical="center"/>
      <protection/>
    </xf>
    <xf numFmtId="0" fontId="114" fillId="7" borderId="10" xfId="0" applyFont="1" applyFill="1" applyBorder="1" applyAlignment="1">
      <alignment horizontal="left" vertical="center"/>
    </xf>
    <xf numFmtId="0" fontId="115" fillId="0" borderId="0" xfId="0" applyFont="1" applyAlignment="1">
      <alignment horizontal="center" vertical="center"/>
    </xf>
    <xf numFmtId="0" fontId="116" fillId="0" borderId="0" xfId="0" applyFont="1" applyAlignment="1">
      <alignment horizontal="center"/>
    </xf>
    <xf numFmtId="0" fontId="116" fillId="0" borderId="0" xfId="0" applyFont="1" applyAlignment="1">
      <alignment horizontal="center" vertical="center"/>
    </xf>
    <xf numFmtId="41" fontId="113" fillId="2" borderId="10" xfId="0" applyNumberFormat="1" applyFont="1" applyFill="1" applyBorder="1" applyAlignment="1" applyProtection="1">
      <alignment vertical="center"/>
      <protection locked="0"/>
    </xf>
    <xf numFmtId="0" fontId="24" fillId="0" borderId="11" xfId="57" applyFont="1" applyFill="1" applyBorder="1" applyAlignment="1" applyProtection="1">
      <alignment/>
      <protection hidden="1"/>
    </xf>
    <xf numFmtId="0" fontId="29" fillId="0" borderId="0" xfId="57" applyFont="1" applyFill="1" applyBorder="1" applyAlignment="1" applyProtection="1">
      <alignment/>
      <protection hidden="1"/>
    </xf>
    <xf numFmtId="0" fontId="29" fillId="0" borderId="0" xfId="57" applyFont="1" applyFill="1" applyBorder="1" applyProtection="1">
      <alignment/>
      <protection hidden="1"/>
    </xf>
    <xf numFmtId="0" fontId="24" fillId="0" borderId="10" xfId="57" applyFont="1" applyBorder="1" applyAlignment="1" applyProtection="1">
      <alignment horizontal="center" vertical="center"/>
      <protection hidden="1"/>
    </xf>
    <xf numFmtId="0" fontId="24" fillId="0" borderId="11" xfId="57" applyFont="1" applyBorder="1" applyAlignment="1" applyProtection="1">
      <alignment horizontal="center" vertical="center"/>
      <protection hidden="1"/>
    </xf>
    <xf numFmtId="0" fontId="0" fillId="36" borderId="0" xfId="0" applyFill="1" applyAlignment="1">
      <alignment vertical="center"/>
    </xf>
    <xf numFmtId="0" fontId="96" fillId="37" borderId="0" xfId="34" applyFill="1" applyAlignment="1">
      <alignment horizontal="center"/>
    </xf>
    <xf numFmtId="0" fontId="96" fillId="37" borderId="0" xfId="34" applyFill="1" applyAlignment="1">
      <alignment horizontal="center" vertical="center"/>
    </xf>
    <xf numFmtId="0" fontId="0" fillId="0" borderId="0" xfId="0" applyFill="1" applyAlignment="1">
      <alignment vertical="center"/>
    </xf>
    <xf numFmtId="0" fontId="0" fillId="0" borderId="0" xfId="0" applyFont="1" applyFill="1" applyAlignment="1">
      <alignment vertical="center"/>
    </xf>
    <xf numFmtId="0" fontId="0" fillId="0" borderId="0" xfId="0" applyFill="1" applyAlignment="1">
      <alignment/>
    </xf>
    <xf numFmtId="0" fontId="15" fillId="0" borderId="0" xfId="0" applyFont="1" applyFill="1" applyBorder="1" applyAlignment="1">
      <alignment horizontal="left"/>
    </xf>
    <xf numFmtId="0" fontId="14" fillId="0" borderId="0" xfId="0" applyFont="1" applyFill="1" applyBorder="1" applyAlignment="1">
      <alignment/>
    </xf>
    <xf numFmtId="0" fontId="16" fillId="0" borderId="0" xfId="0" applyFont="1" applyFill="1" applyBorder="1" applyAlignment="1">
      <alignment horizontal="center"/>
    </xf>
    <xf numFmtId="0" fontId="117" fillId="37" borderId="0" xfId="0" applyFont="1" applyFill="1" applyAlignment="1">
      <alignment vertical="center"/>
    </xf>
    <xf numFmtId="0" fontId="24" fillId="0" borderId="24" xfId="57" applyFont="1" applyBorder="1" applyAlignment="1" applyProtection="1">
      <alignment horizontal="center" vertical="center"/>
      <protection hidden="1"/>
    </xf>
    <xf numFmtId="0" fontId="24" fillId="0" borderId="13" xfId="57" applyFont="1" applyBorder="1" applyAlignment="1" applyProtection="1">
      <alignment horizontal="center" vertical="center"/>
      <protection hidden="1"/>
    </xf>
    <xf numFmtId="0" fontId="24" fillId="0" borderId="13" xfId="57" applyFont="1" applyBorder="1" applyAlignment="1" applyProtection="1">
      <alignment vertical="center"/>
      <protection hidden="1"/>
    </xf>
    <xf numFmtId="0" fontId="24" fillId="0" borderId="14" xfId="57" applyFont="1" applyBorder="1" applyAlignment="1" applyProtection="1">
      <alignment horizontal="center" vertical="center"/>
      <protection hidden="1"/>
    </xf>
    <xf numFmtId="0" fontId="95" fillId="0" borderId="11" xfId="57" applyBorder="1">
      <alignment/>
      <protection/>
    </xf>
    <xf numFmtId="0" fontId="21" fillId="0" borderId="0" xfId="0" applyFont="1" applyFill="1" applyBorder="1" applyAlignment="1">
      <alignment vertical="center" wrapText="1"/>
    </xf>
    <xf numFmtId="0" fontId="37" fillId="38" borderId="0" xfId="0" applyFont="1" applyFill="1" applyBorder="1" applyAlignment="1">
      <alignment horizontal="left"/>
    </xf>
    <xf numFmtId="0" fontId="0" fillId="38" borderId="0" xfId="0" applyFont="1" applyFill="1" applyBorder="1" applyAlignment="1">
      <alignment/>
    </xf>
    <xf numFmtId="0" fontId="1" fillId="34" borderId="0" xfId="0" applyFont="1" applyFill="1" applyAlignment="1">
      <alignment/>
    </xf>
    <xf numFmtId="49" fontId="6" fillId="0" borderId="0" xfId="0" applyNumberFormat="1" applyFont="1" applyFill="1" applyBorder="1" applyAlignment="1">
      <alignment horizontal="center" vertical="center"/>
    </xf>
    <xf numFmtId="0" fontId="96" fillId="33" borderId="0" xfId="34" applyFill="1" applyAlignment="1">
      <alignment/>
    </xf>
    <xf numFmtId="0" fontId="96" fillId="33" borderId="0" xfId="34" applyFill="1" applyBorder="1" applyAlignment="1">
      <alignment/>
    </xf>
    <xf numFmtId="0" fontId="4" fillId="0" borderId="0" xfId="0" applyFont="1" applyAlignment="1">
      <alignment horizontal="center" wrapText="1"/>
    </xf>
    <xf numFmtId="0" fontId="6" fillId="0" borderId="0" xfId="0" applyFont="1" applyAlignment="1">
      <alignment horizontal="left"/>
    </xf>
    <xf numFmtId="0" fontId="42" fillId="36" borderId="10" xfId="0" applyFont="1" applyFill="1" applyBorder="1" applyAlignment="1">
      <alignment horizontal="center" vertical="center"/>
    </xf>
    <xf numFmtId="0" fontId="15" fillId="39" borderId="0" xfId="0" applyFont="1" applyFill="1" applyBorder="1" applyAlignment="1">
      <alignment horizontal="left"/>
    </xf>
    <xf numFmtId="0" fontId="14" fillId="39" borderId="0" xfId="0" applyFont="1" applyFill="1" applyBorder="1" applyAlignment="1">
      <alignment/>
    </xf>
    <xf numFmtId="0" fontId="118" fillId="37" borderId="0" xfId="34" applyFont="1" applyFill="1" applyAlignment="1">
      <alignment horizontal="center" vertical="center"/>
    </xf>
    <xf numFmtId="0" fontId="119" fillId="37" borderId="0" xfId="34" applyFont="1" applyFill="1" applyAlignment="1">
      <alignment horizontal="center" vertical="center"/>
    </xf>
    <xf numFmtId="0" fontId="120" fillId="37" borderId="0" xfId="0" applyFont="1" applyFill="1" applyBorder="1" applyAlignment="1">
      <alignment horizontal="center" vertical="center"/>
    </xf>
    <xf numFmtId="1" fontId="24" fillId="0" borderId="0" xfId="57" applyNumberFormat="1" applyFont="1" applyFill="1" applyBorder="1" applyProtection="1">
      <alignment/>
      <protection hidden="1"/>
    </xf>
    <xf numFmtId="3" fontId="26" fillId="0" borderId="11" xfId="57" applyNumberFormat="1" applyFont="1" applyBorder="1" applyAlignment="1" applyProtection="1">
      <alignment vertical="center"/>
      <protection hidden="1"/>
    </xf>
    <xf numFmtId="3" fontId="26" fillId="0" borderId="0" xfId="57" applyNumberFormat="1" applyFont="1" applyBorder="1" applyAlignment="1" applyProtection="1">
      <alignment vertical="center"/>
      <protection hidden="1"/>
    </xf>
    <xf numFmtId="3" fontId="24" fillId="0" borderId="0" xfId="57" applyNumberFormat="1" applyFont="1" applyBorder="1" applyAlignment="1" applyProtection="1">
      <alignment vertical="center"/>
      <protection hidden="1"/>
    </xf>
    <xf numFmtId="3" fontId="25" fillId="0" borderId="15" xfId="57" applyNumberFormat="1" applyFont="1" applyBorder="1" applyAlignment="1" applyProtection="1">
      <alignment vertical="center"/>
      <protection hidden="1"/>
    </xf>
    <xf numFmtId="3" fontId="27" fillId="0" borderId="11" xfId="57" applyNumberFormat="1" applyFont="1" applyBorder="1" applyAlignment="1" applyProtection="1">
      <alignment vertical="center"/>
      <protection hidden="1"/>
    </xf>
    <xf numFmtId="3" fontId="27" fillId="0" borderId="17" xfId="57" applyNumberFormat="1" applyFont="1" applyBorder="1" applyAlignment="1" applyProtection="1">
      <alignment vertical="center"/>
      <protection hidden="1"/>
    </xf>
    <xf numFmtId="0" fontId="121" fillId="37" borderId="0" xfId="0" applyFont="1" applyFill="1" applyBorder="1" applyAlignment="1">
      <alignment horizontal="center" vertical="center"/>
    </xf>
    <xf numFmtId="0" fontId="7" fillId="0" borderId="10" xfId="0" applyFont="1" applyBorder="1" applyAlignment="1">
      <alignment vertical="center"/>
    </xf>
    <xf numFmtId="0" fontId="6" fillId="0" borderId="10" xfId="0" applyFont="1" applyBorder="1" applyAlignment="1">
      <alignment vertical="center"/>
    </xf>
    <xf numFmtId="0" fontId="122" fillId="0" borderId="0" xfId="0" applyFont="1" applyFill="1" applyBorder="1" applyAlignment="1">
      <alignment/>
    </xf>
    <xf numFmtId="0" fontId="122" fillId="0" borderId="0" xfId="0" applyFont="1" applyFill="1" applyBorder="1" applyAlignment="1">
      <alignment vertical="center"/>
    </xf>
    <xf numFmtId="0" fontId="1" fillId="40" borderId="11" xfId="0" applyFont="1" applyFill="1" applyBorder="1" applyAlignment="1">
      <alignment vertical="center" wrapText="1"/>
    </xf>
    <xf numFmtId="0" fontId="1" fillId="40" borderId="0" xfId="0" applyFont="1" applyFill="1" applyBorder="1" applyAlignment="1">
      <alignment horizontal="left" vertical="center" wrapText="1"/>
    </xf>
    <xf numFmtId="174" fontId="1" fillId="40" borderId="0" xfId="0" applyNumberFormat="1" applyFont="1" applyFill="1" applyBorder="1" applyAlignment="1">
      <alignment horizontal="left" vertical="center" wrapText="1"/>
    </xf>
    <xf numFmtId="0" fontId="123" fillId="40" borderId="0" xfId="0" applyFont="1" applyFill="1" applyBorder="1" applyAlignment="1">
      <alignment horizontal="center" vertical="center"/>
    </xf>
    <xf numFmtId="0" fontId="0" fillId="40" borderId="0" xfId="0" applyFill="1" applyBorder="1" applyAlignment="1">
      <alignment horizontal="left" vertical="center"/>
    </xf>
    <xf numFmtId="0" fontId="0" fillId="40" borderId="0" xfId="0" applyFont="1" applyFill="1" applyBorder="1" applyAlignment="1">
      <alignment horizontal="left" vertical="center"/>
    </xf>
    <xf numFmtId="0" fontId="0" fillId="36" borderId="31" xfId="0" applyFill="1" applyBorder="1" applyAlignment="1">
      <alignment horizontal="left"/>
    </xf>
    <xf numFmtId="0" fontId="0" fillId="36" borderId="32" xfId="0" applyFill="1" applyBorder="1" applyAlignment="1">
      <alignment horizontal="left"/>
    </xf>
    <xf numFmtId="0" fontId="0" fillId="36" borderId="10" xfId="0" applyFill="1" applyBorder="1" applyAlignment="1">
      <alignment horizontal="left"/>
    </xf>
    <xf numFmtId="0" fontId="43" fillId="36" borderId="10" xfId="0" applyFont="1" applyFill="1" applyBorder="1" applyAlignment="1">
      <alignment horizontal="left" vertical="center"/>
    </xf>
    <xf numFmtId="0" fontId="0" fillId="36" borderId="10" xfId="0" applyFill="1" applyBorder="1" applyAlignment="1">
      <alignment horizontal="left" vertical="center"/>
    </xf>
    <xf numFmtId="0" fontId="0" fillId="36" borderId="33" xfId="0" applyFill="1" applyBorder="1" applyAlignment="1">
      <alignment horizontal="left" vertical="center"/>
    </xf>
    <xf numFmtId="0" fontId="0" fillId="36" borderId="10" xfId="0" applyFill="1" applyBorder="1" applyAlignment="1">
      <alignment vertical="center"/>
    </xf>
    <xf numFmtId="0" fontId="10" fillId="0" borderId="0" xfId="0" applyFont="1" applyBorder="1" applyAlignment="1">
      <alignment horizontal="left"/>
    </xf>
    <xf numFmtId="0" fontId="48" fillId="0" borderId="11" xfId="0" applyFont="1" applyBorder="1" applyAlignment="1">
      <alignment horizontal="center"/>
    </xf>
    <xf numFmtId="0" fontId="48" fillId="0" borderId="0" xfId="0" applyFont="1" applyBorder="1" applyAlignment="1">
      <alignment horizontal="center"/>
    </xf>
    <xf numFmtId="0" fontId="0" fillId="0" borderId="0" xfId="0" applyFont="1" applyBorder="1" applyAlignment="1">
      <alignment/>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48" fillId="0" borderId="12" xfId="0" applyFont="1" applyBorder="1" applyAlignment="1">
      <alignment horizontal="center"/>
    </xf>
    <xf numFmtId="1" fontId="6" fillId="0" borderId="0" xfId="0" applyNumberFormat="1" applyFont="1" applyBorder="1" applyAlignment="1">
      <alignment/>
    </xf>
    <xf numFmtId="1" fontId="6" fillId="0" borderId="0" xfId="0" applyNumberFormat="1" applyFont="1" applyBorder="1" applyAlignment="1">
      <alignment horizontal="right"/>
    </xf>
    <xf numFmtId="0" fontId="6" fillId="0" borderId="0" xfId="0" applyFont="1" applyBorder="1" applyAlignment="1">
      <alignment horizontal="right"/>
    </xf>
    <xf numFmtId="0" fontId="6" fillId="0" borderId="0" xfId="0" applyFont="1" applyBorder="1" applyAlignment="1">
      <alignment vertical="top" wrapText="1"/>
    </xf>
    <xf numFmtId="0" fontId="6" fillId="0" borderId="0" xfId="0" applyFont="1" applyBorder="1" applyAlignment="1">
      <alignment vertical="center"/>
    </xf>
    <xf numFmtId="0" fontId="6" fillId="0" borderId="0" xfId="0" applyFont="1" applyAlignment="1">
      <alignment horizontal="right"/>
    </xf>
    <xf numFmtId="0" fontId="0" fillId="36" borderId="32" xfId="0" applyFill="1" applyBorder="1" applyAlignment="1">
      <alignment/>
    </xf>
    <xf numFmtId="0" fontId="0" fillId="36" borderId="31" xfId="0" applyFill="1" applyBorder="1" applyAlignment="1">
      <alignment/>
    </xf>
    <xf numFmtId="0" fontId="0" fillId="41" borderId="10" xfId="0" applyFill="1" applyBorder="1" applyAlignment="1">
      <alignment horizontal="center" vertical="center"/>
    </xf>
    <xf numFmtId="0" fontId="124" fillId="0" borderId="0" xfId="57" applyFont="1">
      <alignment/>
      <protection/>
    </xf>
    <xf numFmtId="0" fontId="25" fillId="0" borderId="30" xfId="57" applyFont="1" applyFill="1" applyBorder="1" applyAlignment="1" applyProtection="1">
      <alignment horizontal="center"/>
      <protection hidden="1"/>
    </xf>
    <xf numFmtId="0" fontId="25" fillId="0" borderId="13" xfId="57" applyFont="1" applyFill="1" applyBorder="1" applyAlignment="1" applyProtection="1">
      <alignment horizontal="center"/>
      <protection hidden="1"/>
    </xf>
    <xf numFmtId="0" fontId="25" fillId="0" borderId="34" xfId="57" applyFont="1" applyFill="1" applyBorder="1" applyAlignment="1" applyProtection="1">
      <alignment horizontal="center"/>
      <protection hidden="1"/>
    </xf>
    <xf numFmtId="0" fontId="25" fillId="0" borderId="33" xfId="57" applyFont="1" applyFill="1" applyBorder="1" applyAlignment="1" applyProtection="1">
      <alignment horizontal="center"/>
      <protection hidden="1"/>
    </xf>
    <xf numFmtId="0" fontId="25" fillId="0" borderId="35" xfId="57" applyFont="1" applyFill="1" applyBorder="1" applyProtection="1">
      <alignment/>
      <protection hidden="1"/>
    </xf>
    <xf numFmtId="0" fontId="25" fillId="0" borderId="35" xfId="57" applyFont="1" applyFill="1" applyBorder="1" applyAlignment="1" applyProtection="1">
      <alignment horizontal="center"/>
      <protection hidden="1"/>
    </xf>
    <xf numFmtId="0" fontId="25" fillId="0" borderId="35" xfId="57" applyFont="1" applyFill="1" applyBorder="1" applyAlignment="1" applyProtection="1">
      <alignment horizontal="center" vertical="center"/>
      <protection hidden="1"/>
    </xf>
    <xf numFmtId="0" fontId="25" fillId="0" borderId="34" xfId="57" applyFont="1" applyFill="1" applyBorder="1" applyAlignment="1" applyProtection="1">
      <alignment horizontal="center" vertical="center"/>
      <protection hidden="1"/>
    </xf>
    <xf numFmtId="0" fontId="25" fillId="0" borderId="33" xfId="57" applyFont="1" applyFill="1" applyBorder="1" applyAlignment="1" applyProtection="1">
      <alignment horizontal="center" vertical="center"/>
      <protection hidden="1"/>
    </xf>
    <xf numFmtId="172" fontId="24" fillId="0" borderId="0" xfId="57" applyNumberFormat="1" applyFont="1" applyFill="1" applyBorder="1" applyAlignment="1" applyProtection="1">
      <alignment/>
      <protection hidden="1"/>
    </xf>
    <xf numFmtId="0" fontId="25" fillId="0" borderId="0" xfId="57" applyFont="1" applyFill="1" applyBorder="1" applyAlignment="1" applyProtection="1">
      <alignment horizontal="center" wrapText="1"/>
      <protection hidden="1"/>
    </xf>
    <xf numFmtId="0" fontId="25" fillId="0" borderId="13" xfId="57" applyFont="1" applyFill="1" applyBorder="1" applyAlignment="1" applyProtection="1">
      <alignment horizontal="center" wrapText="1"/>
      <protection hidden="1"/>
    </xf>
    <xf numFmtId="0" fontId="0" fillId="0" borderId="0" xfId="0" applyFont="1" applyBorder="1" applyAlignment="1">
      <alignment horizontal="right"/>
    </xf>
    <xf numFmtId="3" fontId="28" fillId="0" borderId="12" xfId="57" applyNumberFormat="1" applyFont="1" applyFill="1" applyBorder="1" applyAlignment="1" applyProtection="1">
      <alignment vertical="center"/>
      <protection hidden="1"/>
    </xf>
    <xf numFmtId="49" fontId="95" fillId="0" borderId="10" xfId="0" applyNumberFormat="1" applyFont="1" applyBorder="1" applyAlignment="1">
      <alignment horizontal="center" vertical="center" wrapText="1"/>
    </xf>
    <xf numFmtId="0" fontId="24" fillId="0" borderId="10" xfId="57" applyFont="1" applyBorder="1" applyAlignment="1" applyProtection="1">
      <alignment horizontal="center" vertical="center" wrapText="1"/>
      <protection hidden="1"/>
    </xf>
    <xf numFmtId="0" fontId="24" fillId="0" borderId="10" xfId="57" applyFont="1" applyBorder="1" applyAlignment="1" applyProtection="1">
      <alignment vertical="center"/>
      <protection hidden="1"/>
    </xf>
    <xf numFmtId="0" fontId="25" fillId="0" borderId="0" xfId="57" applyFont="1" applyFill="1" applyBorder="1" applyAlignment="1" applyProtection="1">
      <alignment horizontal="left" indent="2"/>
      <protection hidden="1"/>
    </xf>
    <xf numFmtId="0" fontId="95" fillId="0" borderId="10" xfId="0" applyFont="1" applyBorder="1" applyAlignment="1">
      <alignment horizontal="left" vertical="center"/>
    </xf>
    <xf numFmtId="49" fontId="84" fillId="0" borderId="10" xfId="57" applyNumberFormat="1" applyFont="1" applyFill="1" applyBorder="1" applyAlignment="1" applyProtection="1">
      <alignment horizontal="center" vertical="center"/>
      <protection hidden="1"/>
    </xf>
    <xf numFmtId="0" fontId="84" fillId="0" borderId="10" xfId="57" applyFont="1" applyFill="1" applyBorder="1" applyAlignment="1" applyProtection="1">
      <alignment horizontal="center" vertical="center"/>
      <protection hidden="1"/>
    </xf>
    <xf numFmtId="0" fontId="84" fillId="0" borderId="10" xfId="57" applyFont="1" applyFill="1" applyBorder="1" applyAlignment="1" applyProtection="1">
      <alignment horizontal="center"/>
      <protection hidden="1"/>
    </xf>
    <xf numFmtId="41" fontId="84" fillId="0" borderId="10" xfId="57" applyNumberFormat="1" applyFont="1" applyFill="1" applyBorder="1" applyAlignment="1" applyProtection="1">
      <alignment horizontal="center"/>
      <protection hidden="1"/>
    </xf>
    <xf numFmtId="0" fontId="29" fillId="0" borderId="0" xfId="57" applyFont="1" applyFill="1" applyBorder="1" applyAlignment="1" applyProtection="1">
      <alignment horizontal="left"/>
      <protection hidden="1"/>
    </xf>
    <xf numFmtId="0" fontId="29" fillId="0" borderId="27" xfId="57" applyFont="1" applyFill="1" applyBorder="1" applyAlignment="1" applyProtection="1">
      <alignment horizontal="right"/>
      <protection hidden="1"/>
    </xf>
    <xf numFmtId="0" fontId="29" fillId="0" borderId="11" xfId="57" applyFont="1" applyFill="1" applyBorder="1" applyAlignment="1" applyProtection="1">
      <alignment horizontal="center"/>
      <protection hidden="1"/>
    </xf>
    <xf numFmtId="0" fontId="29" fillId="0" borderId="11" xfId="57" applyFont="1" applyFill="1" applyBorder="1" applyAlignment="1" applyProtection="1">
      <alignment horizontal="center" vertical="center"/>
      <protection hidden="1"/>
    </xf>
    <xf numFmtId="0" fontId="29" fillId="0" borderId="0" xfId="57" applyFont="1" applyFill="1" applyBorder="1" applyAlignment="1" applyProtection="1">
      <alignment vertical="center"/>
      <protection hidden="1"/>
    </xf>
    <xf numFmtId="0" fontId="95" fillId="0" borderId="0" xfId="57" applyFont="1">
      <alignment/>
      <protection/>
    </xf>
    <xf numFmtId="0" fontId="0" fillId="0" borderId="12" xfId="0" applyFont="1" applyBorder="1" applyAlignment="1">
      <alignment horizontal="right"/>
    </xf>
    <xf numFmtId="0" fontId="0" fillId="0" borderId="0" xfId="0" applyFill="1" applyAlignment="1">
      <alignment vertical="center" wrapText="1"/>
    </xf>
    <xf numFmtId="0" fontId="0" fillId="42" borderId="10" xfId="0" applyFill="1" applyBorder="1" applyAlignment="1">
      <alignment vertical="center"/>
    </xf>
    <xf numFmtId="0" fontId="0" fillId="0" borderId="0" xfId="0" applyFill="1" applyAlignment="1" applyProtection="1">
      <alignment/>
      <protection locked="0"/>
    </xf>
    <xf numFmtId="0" fontId="0" fillId="0" borderId="0" xfId="0" applyAlignment="1" applyProtection="1">
      <alignment/>
      <protection locked="0"/>
    </xf>
    <xf numFmtId="0" fontId="96" fillId="37" borderId="0" xfId="34" applyFill="1" applyAlignment="1" applyProtection="1">
      <alignment horizontal="left" vertical="center"/>
      <protection locked="0"/>
    </xf>
    <xf numFmtId="0" fontId="118" fillId="37" borderId="0" xfId="34" applyFont="1" applyFill="1" applyAlignment="1" applyProtection="1">
      <alignment horizontal="left" vertical="center"/>
      <protection locked="0"/>
    </xf>
    <xf numFmtId="0" fontId="96" fillId="37" borderId="0" xfId="34" applyFill="1" applyAlignment="1" applyProtection="1">
      <alignment horizontal="left" vertical="center" wrapText="1"/>
      <protection locked="0"/>
    </xf>
    <xf numFmtId="0" fontId="125" fillId="37" borderId="0" xfId="34" applyFont="1" applyFill="1" applyAlignment="1" applyProtection="1">
      <alignment horizontal="left" vertical="center"/>
      <protection locked="0"/>
    </xf>
    <xf numFmtId="49" fontId="6" fillId="43" borderId="10" xfId="0" applyNumberFormat="1" applyFont="1" applyFill="1" applyBorder="1" applyAlignment="1" applyProtection="1">
      <alignment horizontal="center" vertical="center"/>
      <protection locked="0"/>
    </xf>
    <xf numFmtId="0" fontId="126" fillId="35" borderId="0" xfId="0" applyFont="1" applyFill="1" applyBorder="1" applyAlignment="1">
      <alignment horizontal="center" vertical="center"/>
    </xf>
    <xf numFmtId="0" fontId="0" fillId="0" borderId="0" xfId="0" applyFont="1" applyAlignment="1">
      <alignment vertical="center"/>
    </xf>
    <xf numFmtId="0" fontId="13" fillId="37" borderId="0" xfId="34" applyFont="1" applyFill="1" applyAlignment="1" applyProtection="1">
      <alignment/>
      <protection locked="0"/>
    </xf>
    <xf numFmtId="0" fontId="0" fillId="36" borderId="32" xfId="0" applyFill="1" applyBorder="1" applyAlignment="1">
      <alignment vertical="center"/>
    </xf>
    <xf numFmtId="0" fontId="0" fillId="36" borderId="31" xfId="0" applyFill="1" applyBorder="1" applyAlignment="1">
      <alignment vertical="center"/>
    </xf>
    <xf numFmtId="0" fontId="84" fillId="0" borderId="10" xfId="57" applyFont="1" applyFill="1" applyBorder="1" applyAlignment="1" applyProtection="1">
      <alignment horizontal="center"/>
      <protection hidden="1"/>
    </xf>
    <xf numFmtId="0" fontId="22" fillId="39" borderId="35"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39" borderId="10" xfId="0" applyFont="1" applyFill="1" applyBorder="1" applyAlignment="1">
      <alignment horizontal="center" vertical="center" wrapText="1"/>
    </xf>
    <xf numFmtId="0" fontId="127" fillId="37" borderId="0" xfId="34" applyFont="1" applyFill="1" applyAlignment="1" applyProtection="1">
      <alignment horizontal="left" vertical="center" wrapText="1"/>
      <protection locked="0"/>
    </xf>
    <xf numFmtId="0" fontId="6" fillId="0" borderId="0" xfId="0" applyFont="1" applyAlignment="1" applyProtection="1">
      <alignment/>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protection/>
    </xf>
    <xf numFmtId="0" fontId="6" fillId="0" borderId="0" xfId="0" applyFont="1" applyBorder="1" applyAlignment="1" applyProtection="1">
      <alignment horizontal="left"/>
      <protection/>
    </xf>
    <xf numFmtId="0" fontId="6" fillId="0" borderId="0" xfId="0" applyFont="1" applyBorder="1" applyAlignment="1" applyProtection="1">
      <alignment vertical="center"/>
      <protection/>
    </xf>
    <xf numFmtId="0" fontId="6" fillId="0" borderId="0" xfId="0" applyFont="1" applyAlignment="1" applyProtection="1">
      <alignment horizontal="left"/>
      <protection/>
    </xf>
    <xf numFmtId="0" fontId="6" fillId="0" borderId="0" xfId="0" applyFont="1" applyAlignment="1" applyProtection="1">
      <alignment horizontal="left" vertical="center"/>
      <protection/>
    </xf>
    <xf numFmtId="1" fontId="6" fillId="0" borderId="0" xfId="0" applyNumberFormat="1" applyFont="1" applyAlignment="1" applyProtection="1">
      <alignment horizontal="left"/>
      <protection/>
    </xf>
    <xf numFmtId="1" fontId="6" fillId="0" borderId="0" xfId="0" applyNumberFormat="1" applyFont="1" applyBorder="1" applyAlignment="1" applyProtection="1">
      <alignment horizontal="left" vertical="center"/>
      <protection/>
    </xf>
    <xf numFmtId="1" fontId="6" fillId="0" borderId="0" xfId="0" applyNumberFormat="1" applyFont="1" applyBorder="1" applyAlignment="1" applyProtection="1">
      <alignment horizontal="left"/>
      <protection/>
    </xf>
    <xf numFmtId="1" fontId="6" fillId="0" borderId="0" xfId="0" applyNumberFormat="1" applyFont="1" applyBorder="1" applyAlignment="1" applyProtection="1">
      <alignment vertical="center"/>
      <protection/>
    </xf>
    <xf numFmtId="1" fontId="6" fillId="0" borderId="0" xfId="0" applyNumberFormat="1" applyFont="1" applyAlignment="1" applyProtection="1">
      <alignment horizontal="left" vertical="center"/>
      <protection/>
    </xf>
    <xf numFmtId="1" fontId="6" fillId="0" borderId="0" xfId="0" applyNumberFormat="1" applyFont="1" applyBorder="1" applyAlignment="1" applyProtection="1">
      <alignment horizontal="right"/>
      <protection/>
    </xf>
    <xf numFmtId="0" fontId="0" fillId="0" borderId="0" xfId="0" applyBorder="1" applyAlignment="1" applyProtection="1">
      <alignment/>
      <protection/>
    </xf>
    <xf numFmtId="0" fontId="0" fillId="0" borderId="0" xfId="0" applyFont="1" applyBorder="1" applyAlignment="1" applyProtection="1">
      <alignment horizontal="right" vertical="center"/>
      <protection/>
    </xf>
    <xf numFmtId="0" fontId="0" fillId="0" borderId="0" xfId="0" applyFont="1" applyBorder="1" applyAlignment="1" applyProtection="1">
      <alignment horizontal="left" vertical="center"/>
      <protection/>
    </xf>
    <xf numFmtId="0" fontId="128" fillId="35" borderId="12" xfId="34" applyFont="1" applyFill="1" applyBorder="1" applyAlignment="1" applyProtection="1">
      <alignment horizontal="center" wrapText="1"/>
      <protection locked="0"/>
    </xf>
    <xf numFmtId="0" fontId="54" fillId="35" borderId="12" xfId="34" applyFont="1" applyFill="1" applyBorder="1" applyAlignment="1" applyProtection="1">
      <alignment horizontal="center" wrapText="1"/>
      <protection locked="0"/>
    </xf>
    <xf numFmtId="0" fontId="17" fillId="36" borderId="32" xfId="0" applyFont="1" applyFill="1" applyBorder="1" applyAlignment="1">
      <alignment horizontal="left"/>
    </xf>
    <xf numFmtId="0" fontId="17" fillId="36" borderId="31" xfId="0" applyFont="1" applyFill="1" applyBorder="1" applyAlignment="1">
      <alignment horizontal="left"/>
    </xf>
    <xf numFmtId="0" fontId="96" fillId="37" borderId="0" xfId="34" applyFill="1" applyAlignment="1" applyProtection="1">
      <alignment horizontal="left"/>
      <protection locked="0"/>
    </xf>
    <xf numFmtId="0" fontId="96" fillId="37" borderId="12" xfId="34" applyFill="1" applyBorder="1" applyAlignment="1" applyProtection="1">
      <alignment horizontal="left"/>
      <protection locked="0"/>
    </xf>
    <xf numFmtId="0" fontId="129" fillId="35" borderId="0" xfId="0" applyFont="1" applyFill="1" applyBorder="1" applyAlignment="1">
      <alignment horizontal="left" vertical="center" wrapText="1"/>
    </xf>
    <xf numFmtId="0" fontId="130" fillId="44" borderId="10" xfId="0" applyFont="1" applyFill="1" applyBorder="1" applyAlignment="1">
      <alignment horizontal="center" vertical="center" wrapText="1"/>
    </xf>
    <xf numFmtId="0" fontId="131" fillId="45" borderId="0" xfId="0" applyFont="1" applyFill="1" applyAlignment="1">
      <alignment horizontal="center" vertical="center"/>
    </xf>
    <xf numFmtId="0" fontId="0" fillId="36" borderId="32" xfId="0" applyFont="1" applyFill="1" applyBorder="1" applyAlignment="1">
      <alignment horizontal="left"/>
    </xf>
    <xf numFmtId="0" fontId="0" fillId="36" borderId="31" xfId="0" applyFill="1" applyBorder="1" applyAlignment="1">
      <alignment horizontal="left"/>
    </xf>
    <xf numFmtId="0" fontId="44" fillId="40" borderId="32" xfId="0" applyFont="1" applyFill="1" applyBorder="1" applyAlignment="1">
      <alignment horizontal="center" vertical="center"/>
    </xf>
    <xf numFmtId="0" fontId="44" fillId="40" borderId="36" xfId="0" applyFont="1" applyFill="1" applyBorder="1" applyAlignment="1">
      <alignment horizontal="center" vertical="center"/>
    </xf>
    <xf numFmtId="0" fontId="0" fillId="40" borderId="32" xfId="0" applyFont="1" applyFill="1" applyBorder="1" applyAlignment="1">
      <alignment horizontal="left"/>
    </xf>
    <xf numFmtId="0" fontId="0" fillId="40" borderId="31" xfId="0" applyFill="1" applyBorder="1" applyAlignment="1">
      <alignment horizontal="left"/>
    </xf>
    <xf numFmtId="0" fontId="43" fillId="42" borderId="11" xfId="0" applyFont="1" applyFill="1" applyBorder="1" applyAlignment="1">
      <alignment horizontal="center" vertical="center"/>
    </xf>
    <xf numFmtId="0" fontId="43" fillId="42" borderId="12" xfId="0" applyFont="1" applyFill="1" applyBorder="1" applyAlignment="1">
      <alignment horizontal="center" vertical="center"/>
    </xf>
    <xf numFmtId="0" fontId="50" fillId="36" borderId="32" xfId="0" applyFont="1" applyFill="1" applyBorder="1" applyAlignment="1">
      <alignment horizontal="center" vertical="center"/>
    </xf>
    <xf numFmtId="0" fontId="50" fillId="36" borderId="31" xfId="0" applyFont="1" applyFill="1" applyBorder="1" applyAlignment="1">
      <alignment horizontal="center" vertical="center"/>
    </xf>
    <xf numFmtId="0" fontId="119" fillId="37" borderId="0" xfId="34" applyFont="1" applyFill="1" applyAlignment="1" applyProtection="1">
      <alignment horizontal="left" vertical="center"/>
      <protection locked="0"/>
    </xf>
    <xf numFmtId="0" fontId="119" fillId="37" borderId="12" xfId="34" applyFont="1" applyFill="1" applyBorder="1" applyAlignment="1" applyProtection="1">
      <alignment horizontal="left" vertical="center"/>
      <protection locked="0"/>
    </xf>
    <xf numFmtId="0" fontId="96" fillId="37" borderId="0" xfId="34" applyFill="1" applyAlignment="1" applyProtection="1">
      <alignment horizontal="left" vertical="center"/>
      <protection locked="0"/>
    </xf>
    <xf numFmtId="0" fontId="96" fillId="37" borderId="12" xfId="34" applyFill="1" applyBorder="1" applyAlignment="1" applyProtection="1">
      <alignment horizontal="left" vertical="center"/>
      <protection locked="0"/>
    </xf>
    <xf numFmtId="0" fontId="6" fillId="41" borderId="32" xfId="0" applyFont="1" applyFill="1" applyBorder="1" applyAlignment="1" applyProtection="1">
      <alignment horizontal="right" vertical="center"/>
      <protection locked="0"/>
    </xf>
    <xf numFmtId="0" fontId="6" fillId="41" borderId="31" xfId="0" applyFont="1" applyFill="1" applyBorder="1" applyAlignment="1" applyProtection="1">
      <alignment horizontal="right" vertical="center"/>
      <protection locked="0"/>
    </xf>
    <xf numFmtId="0" fontId="6" fillId="41" borderId="36" xfId="0" applyFont="1" applyFill="1" applyBorder="1" applyAlignment="1" applyProtection="1">
      <alignment horizontal="right" vertical="center"/>
      <protection locked="0"/>
    </xf>
    <xf numFmtId="0" fontId="37" fillId="46" borderId="0" xfId="0" applyFont="1" applyFill="1" applyBorder="1" applyAlignment="1">
      <alignment horizontal="center" vertical="center"/>
    </xf>
    <xf numFmtId="0" fontId="13" fillId="37" borderId="0" xfId="34" applyFont="1" applyFill="1" applyAlignment="1" applyProtection="1">
      <alignment horizontal="left"/>
      <protection locked="0"/>
    </xf>
    <xf numFmtId="0" fontId="13" fillId="37" borderId="12" xfId="34" applyFont="1" applyFill="1" applyBorder="1" applyAlignment="1" applyProtection="1">
      <alignment horizontal="left"/>
      <protection locked="0"/>
    </xf>
    <xf numFmtId="0" fontId="1" fillId="35" borderId="11" xfId="0" applyFont="1" applyFill="1" applyBorder="1" applyAlignment="1">
      <alignment horizontal="center" vertical="center" wrapText="1"/>
    </xf>
    <xf numFmtId="0" fontId="1" fillId="35" borderId="0" xfId="0" applyFont="1" applyFill="1" applyBorder="1" applyAlignment="1">
      <alignment horizontal="center" vertical="center" wrapText="1"/>
    </xf>
    <xf numFmtId="0" fontId="44" fillId="40" borderId="31" xfId="0" applyFont="1" applyFill="1" applyBorder="1" applyAlignment="1">
      <alignment horizontal="center" vertical="center"/>
    </xf>
    <xf numFmtId="0" fontId="132" fillId="47" borderId="0" xfId="0" applyFont="1" applyFill="1" applyBorder="1" applyAlignment="1" applyProtection="1">
      <alignment horizontal="center" vertical="center" wrapText="1"/>
      <protection/>
    </xf>
    <xf numFmtId="0" fontId="133" fillId="37" borderId="0" xfId="34" applyFont="1" applyFill="1" applyAlignment="1" applyProtection="1">
      <alignment horizontal="left" vertical="center"/>
      <protection locked="0"/>
    </xf>
    <xf numFmtId="0" fontId="133" fillId="37" borderId="12" xfId="34" applyFont="1" applyFill="1" applyBorder="1" applyAlignment="1" applyProtection="1">
      <alignment horizontal="left" vertical="center"/>
      <protection locked="0"/>
    </xf>
    <xf numFmtId="0" fontId="119" fillId="37" borderId="0" xfId="34" applyFont="1" applyFill="1" applyAlignment="1" applyProtection="1">
      <alignment vertical="center" wrapText="1"/>
      <protection locked="0"/>
    </xf>
    <xf numFmtId="0" fontId="119" fillId="37" borderId="12" xfId="34" applyFont="1" applyFill="1" applyBorder="1" applyAlignment="1" applyProtection="1">
      <alignment vertical="center" wrapText="1"/>
      <protection locked="0"/>
    </xf>
    <xf numFmtId="0" fontId="134" fillId="33" borderId="0" xfId="34" applyFont="1" applyFill="1" applyAlignment="1" applyProtection="1">
      <alignment horizontal="center" vertical="center"/>
      <protection locked="0"/>
    </xf>
    <xf numFmtId="0" fontId="47" fillId="40" borderId="32" xfId="0" applyFont="1" applyFill="1" applyBorder="1" applyAlignment="1">
      <alignment horizontal="center" vertical="center"/>
    </xf>
    <xf numFmtId="0" fontId="47" fillId="40" borderId="31" xfId="0" applyFont="1" applyFill="1" applyBorder="1" applyAlignment="1">
      <alignment horizontal="center" vertical="center"/>
    </xf>
    <xf numFmtId="0" fontId="135" fillId="48" borderId="27" xfId="0" applyFont="1" applyFill="1" applyBorder="1" applyAlignment="1">
      <alignment horizontal="left" vertical="center" wrapText="1"/>
    </xf>
    <xf numFmtId="0" fontId="135" fillId="48" borderId="30" xfId="0" applyFont="1" applyFill="1" applyBorder="1" applyAlignment="1">
      <alignment horizontal="left" vertical="center" wrapText="1"/>
    </xf>
    <xf numFmtId="0" fontId="135" fillId="48" borderId="11" xfId="0" applyFont="1" applyFill="1" applyBorder="1" applyAlignment="1">
      <alignment horizontal="left" vertical="center" wrapText="1"/>
    </xf>
    <xf numFmtId="0" fontId="135" fillId="48" borderId="0" xfId="0" applyFont="1" applyFill="1" applyBorder="1" applyAlignment="1">
      <alignment horizontal="left" vertical="center" wrapText="1"/>
    </xf>
    <xf numFmtId="0" fontId="49" fillId="41" borderId="32" xfId="0" applyFont="1" applyFill="1" applyBorder="1" applyAlignment="1" applyProtection="1">
      <alignment horizontal="right" vertical="center"/>
      <protection locked="0"/>
    </xf>
    <xf numFmtId="0" fontId="49" fillId="41" borderId="31" xfId="0" applyFont="1" applyFill="1" applyBorder="1" applyAlignment="1" applyProtection="1">
      <alignment horizontal="right" vertical="center"/>
      <protection locked="0"/>
    </xf>
    <xf numFmtId="0" fontId="49" fillId="41" borderId="36" xfId="0" applyFont="1" applyFill="1" applyBorder="1" applyAlignment="1" applyProtection="1">
      <alignment horizontal="right" vertical="center"/>
      <protection locked="0"/>
    </xf>
    <xf numFmtId="0" fontId="136" fillId="49" borderId="10" xfId="0" applyFont="1" applyFill="1" applyBorder="1" applyAlignment="1">
      <alignment horizontal="center" vertical="center"/>
    </xf>
    <xf numFmtId="0" fontId="50" fillId="49" borderId="10" xfId="0" applyFont="1" applyFill="1" applyBorder="1" applyAlignment="1">
      <alignment horizontal="center" vertical="center"/>
    </xf>
    <xf numFmtId="0" fontId="0" fillId="41" borderId="32" xfId="0" applyFill="1" applyBorder="1" applyAlignment="1" applyProtection="1">
      <alignment horizontal="right" vertical="center"/>
      <protection locked="0"/>
    </xf>
    <xf numFmtId="0" fontId="0" fillId="41" borderId="31" xfId="0" applyFill="1" applyBorder="1" applyAlignment="1" applyProtection="1">
      <alignment horizontal="right" vertical="center"/>
      <protection locked="0"/>
    </xf>
    <xf numFmtId="0" fontId="0" fillId="41" borderId="36" xfId="0" applyFill="1" applyBorder="1" applyAlignment="1" applyProtection="1">
      <alignment horizontal="right" vertical="center"/>
      <protection locked="0"/>
    </xf>
    <xf numFmtId="0" fontId="6" fillId="41" borderId="32" xfId="0" applyFont="1" applyFill="1" applyBorder="1" applyAlignment="1" applyProtection="1">
      <alignment horizontal="right"/>
      <protection locked="0"/>
    </xf>
    <xf numFmtId="0" fontId="6" fillId="41" borderId="31" xfId="0" applyFont="1" applyFill="1" applyBorder="1" applyAlignment="1" applyProtection="1">
      <alignment horizontal="right"/>
      <protection locked="0"/>
    </xf>
    <xf numFmtId="0" fontId="6" fillId="41" borderId="36" xfId="0" applyFont="1" applyFill="1" applyBorder="1" applyAlignment="1" applyProtection="1">
      <alignment horizontal="right"/>
      <protection locked="0"/>
    </xf>
    <xf numFmtId="0" fontId="0" fillId="0" borderId="0" xfId="0" applyFont="1" applyAlignment="1">
      <alignment horizontal="center"/>
    </xf>
    <xf numFmtId="0" fontId="0" fillId="0" borderId="0" xfId="0" applyAlignment="1">
      <alignment horizontal="center"/>
    </xf>
    <xf numFmtId="0" fontId="12" fillId="0" borderId="34" xfId="0" applyFont="1" applyBorder="1" applyAlignment="1">
      <alignment horizontal="center" vertical="center" textRotation="90"/>
    </xf>
    <xf numFmtId="0" fontId="12" fillId="0" borderId="33" xfId="0" applyFont="1" applyBorder="1" applyAlignment="1">
      <alignment horizontal="center" vertical="center" textRotation="90"/>
    </xf>
    <xf numFmtId="0" fontId="12" fillId="0" borderId="35" xfId="0" applyFont="1" applyBorder="1" applyAlignment="1">
      <alignment horizontal="center" vertical="center" textRotation="90"/>
    </xf>
    <xf numFmtId="0" fontId="5" fillId="0" borderId="0" xfId="0" applyFont="1" applyAlignment="1">
      <alignment horizontal="center" vertical="center"/>
    </xf>
    <xf numFmtId="0" fontId="7" fillId="0" borderId="10" xfId="0" applyFont="1" applyBorder="1" applyAlignment="1">
      <alignment horizontal="center" vertical="center"/>
    </xf>
    <xf numFmtId="0" fontId="6" fillId="0" borderId="10" xfId="0" applyFont="1" applyBorder="1" applyAlignment="1">
      <alignment horizontal="center" vertical="center" wrapText="1"/>
    </xf>
    <xf numFmtId="0" fontId="48" fillId="0" borderId="27" xfId="0" applyFont="1" applyBorder="1" applyAlignment="1">
      <alignment horizontal="center" vertical="center"/>
    </xf>
    <xf numFmtId="0" fontId="48" fillId="0" borderId="30" xfId="0" applyFont="1" applyBorder="1" applyAlignment="1">
      <alignment horizontal="center" vertical="center"/>
    </xf>
    <xf numFmtId="0" fontId="48" fillId="0" borderId="29" xfId="0" applyFont="1" applyBorder="1" applyAlignment="1">
      <alignment horizontal="center" vertical="center"/>
    </xf>
    <xf numFmtId="0" fontId="1" fillId="0" borderId="13" xfId="0" applyFont="1" applyBorder="1" applyAlignment="1">
      <alignment horizontal="center"/>
    </xf>
    <xf numFmtId="0" fontId="3" fillId="0" borderId="24" xfId="0" applyFont="1" applyBorder="1" applyAlignment="1">
      <alignment horizontal="left"/>
    </xf>
    <xf numFmtId="0" fontId="3" fillId="0" borderId="13" xfId="0" applyFont="1" applyBorder="1" applyAlignment="1">
      <alignment horizontal="left"/>
    </xf>
    <xf numFmtId="0" fontId="0" fillId="0" borderId="0" xfId="0" applyFont="1" applyBorder="1" applyAlignment="1">
      <alignment horizontal="center"/>
    </xf>
    <xf numFmtId="0" fontId="24" fillId="0" borderId="10" xfId="57" applyFont="1" applyBorder="1" applyAlignment="1" applyProtection="1">
      <alignment horizontal="center" vertical="center"/>
      <protection hidden="1"/>
    </xf>
    <xf numFmtId="0" fontId="24" fillId="0" borderId="32" xfId="57" applyFont="1" applyBorder="1" applyAlignment="1" applyProtection="1">
      <alignment horizontal="center" vertical="center" wrapText="1"/>
      <protection hidden="1"/>
    </xf>
    <xf numFmtId="0" fontId="24" fillId="0" borderId="31" xfId="57" applyFont="1" applyBorder="1" applyAlignment="1" applyProtection="1">
      <alignment horizontal="center" vertical="center" wrapText="1"/>
      <protection hidden="1"/>
    </xf>
    <xf numFmtId="0" fontId="24" fillId="0" borderId="36" xfId="57" applyFont="1" applyBorder="1" applyAlignment="1" applyProtection="1">
      <alignment horizontal="center" vertical="center" wrapText="1"/>
      <protection hidden="1"/>
    </xf>
    <xf numFmtId="0" fontId="24" fillId="0" borderId="35" xfId="57" applyFont="1" applyBorder="1" applyAlignment="1" applyProtection="1">
      <alignment horizontal="center" vertical="center"/>
      <protection hidden="1"/>
    </xf>
    <xf numFmtId="0" fontId="31" fillId="0" borderId="10" xfId="57" applyFont="1" applyBorder="1" applyAlignment="1" applyProtection="1">
      <alignment horizontal="center" vertical="center"/>
      <protection hidden="1"/>
    </xf>
    <xf numFmtId="41" fontId="24" fillId="0" borderId="10" xfId="57" applyNumberFormat="1" applyFont="1" applyBorder="1" applyAlignment="1" applyProtection="1">
      <alignment horizontal="center" vertical="center"/>
      <protection hidden="1"/>
    </xf>
    <xf numFmtId="41" fontId="31" fillId="0" borderId="10" xfId="57" applyNumberFormat="1" applyFont="1" applyBorder="1" applyAlignment="1" applyProtection="1">
      <alignment horizontal="center" vertical="center"/>
      <protection hidden="1"/>
    </xf>
    <xf numFmtId="49" fontId="24" fillId="0" borderId="10" xfId="57" applyNumberFormat="1" applyFont="1" applyBorder="1" applyAlignment="1" applyProtection="1">
      <alignment horizontal="center" vertical="center"/>
      <protection hidden="1"/>
    </xf>
    <xf numFmtId="0" fontId="26" fillId="0" borderId="27" xfId="57" applyFont="1" applyBorder="1" applyAlignment="1" applyProtection="1">
      <alignment horizontal="center" vertical="center"/>
      <protection hidden="1"/>
    </xf>
    <xf numFmtId="0" fontId="26" fillId="0" borderId="30" xfId="57" applyFont="1" applyBorder="1" applyAlignment="1" applyProtection="1">
      <alignment horizontal="center" vertical="center"/>
      <protection hidden="1"/>
    </xf>
    <xf numFmtId="0" fontId="26" fillId="0" borderId="29" xfId="57" applyFont="1" applyBorder="1" applyAlignment="1" applyProtection="1">
      <alignment horizontal="center" vertical="center"/>
      <protection hidden="1"/>
    </xf>
    <xf numFmtId="0" fontId="24" fillId="0" borderId="11" xfId="57" applyFont="1" applyBorder="1" applyAlignment="1" applyProtection="1">
      <alignment horizontal="left" vertical="center"/>
      <protection hidden="1"/>
    </xf>
    <xf numFmtId="0" fontId="24" fillId="0" borderId="0" xfId="57" applyFont="1" applyBorder="1" applyAlignment="1" applyProtection="1">
      <alignment horizontal="left" vertical="center"/>
      <protection hidden="1"/>
    </xf>
    <xf numFmtId="0" fontId="24" fillId="0" borderId="10" xfId="57" applyFont="1" applyBorder="1" applyAlignment="1" applyProtection="1">
      <alignment horizontal="center" vertical="center" wrapText="1"/>
      <protection hidden="1"/>
    </xf>
    <xf numFmtId="0" fontId="95" fillId="0" borderId="27" xfId="57" applyBorder="1" applyAlignment="1">
      <alignment horizontal="center" wrapText="1"/>
      <protection/>
    </xf>
    <xf numFmtId="0" fontId="95" fillId="0" borderId="30" xfId="57" applyBorder="1" applyAlignment="1">
      <alignment horizontal="center"/>
      <protection/>
    </xf>
    <xf numFmtId="0" fontId="95" fillId="0" borderId="29" xfId="57" applyBorder="1" applyAlignment="1">
      <alignment horizontal="center"/>
      <protection/>
    </xf>
    <xf numFmtId="0" fontId="24" fillId="0" borderId="19" xfId="57" applyFont="1" applyBorder="1" applyAlignment="1" applyProtection="1">
      <alignment horizontal="center" vertical="center"/>
      <protection hidden="1"/>
    </xf>
    <xf numFmtId="0" fontId="24" fillId="0" borderId="26" xfId="57" applyFont="1" applyBorder="1" applyAlignment="1" applyProtection="1">
      <alignment horizontal="center" vertical="center"/>
      <protection hidden="1"/>
    </xf>
    <xf numFmtId="0" fontId="24" fillId="0" borderId="20" xfId="57" applyFont="1" applyBorder="1" applyAlignment="1" applyProtection="1">
      <alignment horizontal="center" vertical="center"/>
      <protection hidden="1"/>
    </xf>
    <xf numFmtId="0" fontId="31" fillId="0" borderId="27" xfId="57" applyFont="1" applyBorder="1" applyAlignment="1" applyProtection="1">
      <alignment horizontal="center" vertical="center"/>
      <protection hidden="1"/>
    </xf>
    <xf numFmtId="0" fontId="31" fillId="0" borderId="30" xfId="57" applyFont="1" applyBorder="1" applyAlignment="1" applyProtection="1">
      <alignment horizontal="center" vertical="center"/>
      <protection hidden="1"/>
    </xf>
    <xf numFmtId="0" fontId="31" fillId="0" borderId="11" xfId="57" applyFont="1" applyBorder="1" applyAlignment="1" applyProtection="1">
      <alignment horizontal="center" vertical="center"/>
      <protection hidden="1"/>
    </xf>
    <xf numFmtId="0" fontId="31" fillId="0" borderId="0" xfId="57" applyFont="1" applyBorder="1" applyAlignment="1" applyProtection="1">
      <alignment horizontal="center" vertical="center"/>
      <protection hidden="1"/>
    </xf>
    <xf numFmtId="0" fontId="31" fillId="0" borderId="24" xfId="57" applyFont="1" applyBorder="1" applyAlignment="1" applyProtection="1">
      <alignment horizontal="center" vertical="center"/>
      <protection hidden="1"/>
    </xf>
    <xf numFmtId="0" fontId="31" fillId="0" borderId="13" xfId="57" applyFont="1" applyBorder="1" applyAlignment="1" applyProtection="1">
      <alignment horizontal="center" vertical="center"/>
      <protection hidden="1"/>
    </xf>
    <xf numFmtId="0" fontId="27" fillId="0" borderId="36" xfId="57" applyFont="1" applyBorder="1" applyAlignment="1" applyProtection="1">
      <alignment horizontal="center" vertical="center"/>
      <protection hidden="1"/>
    </xf>
    <xf numFmtId="0" fontId="27" fillId="0" borderId="10" xfId="57" applyFont="1" applyBorder="1" applyAlignment="1" applyProtection="1">
      <alignment horizontal="center" vertical="center"/>
      <protection hidden="1"/>
    </xf>
    <xf numFmtId="0" fontId="26" fillId="0" borderId="10" xfId="57" applyFont="1" applyBorder="1" applyAlignment="1" applyProtection="1">
      <alignment horizontal="center" vertical="center"/>
      <protection hidden="1"/>
    </xf>
    <xf numFmtId="41" fontId="24" fillId="0" borderId="11" xfId="57" applyNumberFormat="1" applyFont="1" applyBorder="1" applyAlignment="1" applyProtection="1">
      <alignment horizontal="center"/>
      <protection hidden="1"/>
    </xf>
    <xf numFmtId="41" fontId="24" fillId="0" borderId="0" xfId="57" applyNumberFormat="1" applyFont="1" applyBorder="1" applyAlignment="1" applyProtection="1">
      <alignment horizontal="center"/>
      <protection hidden="1"/>
    </xf>
    <xf numFmtId="0" fontId="24" fillId="0" borderId="11" xfId="57" applyFont="1" applyBorder="1" applyAlignment="1" applyProtection="1">
      <alignment horizontal="center"/>
      <protection hidden="1"/>
    </xf>
    <xf numFmtId="0" fontId="24" fillId="0" borderId="0" xfId="57" applyFont="1" applyBorder="1" applyAlignment="1" applyProtection="1">
      <alignment horizontal="center"/>
      <protection hidden="1"/>
    </xf>
    <xf numFmtId="0" fontId="24" fillId="0" borderId="12" xfId="57" applyFont="1" applyBorder="1" applyAlignment="1" applyProtection="1">
      <alignment horizontal="center"/>
      <protection hidden="1"/>
    </xf>
    <xf numFmtId="3" fontId="25" fillId="0" borderId="0" xfId="57" applyNumberFormat="1" applyFont="1" applyBorder="1" applyAlignment="1" applyProtection="1">
      <alignment horizontal="left" vertical="center" wrapText="1"/>
      <protection hidden="1"/>
    </xf>
    <xf numFmtId="3" fontId="25" fillId="0" borderId="0" xfId="57" applyNumberFormat="1" applyFont="1" applyBorder="1" applyAlignment="1" applyProtection="1">
      <alignment vertical="center"/>
      <protection hidden="1"/>
    </xf>
    <xf numFmtId="3" fontId="28" fillId="0" borderId="0" xfId="57" applyNumberFormat="1" applyFont="1" applyBorder="1" applyAlignment="1" applyProtection="1">
      <alignment horizontal="left" vertical="center"/>
      <protection hidden="1"/>
    </xf>
    <xf numFmtId="0" fontId="24" fillId="0" borderId="11" xfId="57" applyFont="1" applyBorder="1" applyAlignment="1" applyProtection="1">
      <alignment vertical="center"/>
      <protection hidden="1"/>
    </xf>
    <xf numFmtId="0" fontId="24" fillId="0" borderId="0" xfId="57" applyFont="1" applyBorder="1" applyAlignment="1" applyProtection="1">
      <alignment vertical="center"/>
      <protection hidden="1"/>
    </xf>
    <xf numFmtId="0" fontId="28" fillId="0" borderId="11" xfId="57" applyFont="1" applyBorder="1" applyAlignment="1" applyProtection="1">
      <alignment vertical="center"/>
      <protection hidden="1"/>
    </xf>
    <xf numFmtId="0" fontId="28" fillId="0" borderId="0" xfId="57" applyFont="1" applyBorder="1" applyAlignment="1" applyProtection="1">
      <alignment vertical="center"/>
      <protection hidden="1"/>
    </xf>
    <xf numFmtId="3" fontId="28" fillId="0" borderId="11" xfId="57" applyNumberFormat="1" applyFont="1" applyBorder="1" applyAlignment="1" applyProtection="1">
      <alignment vertical="center"/>
      <protection hidden="1"/>
    </xf>
    <xf numFmtId="3" fontId="28" fillId="0" borderId="0" xfId="57" applyNumberFormat="1" applyFont="1" applyBorder="1" applyAlignment="1" applyProtection="1">
      <alignment vertical="center"/>
      <protection hidden="1"/>
    </xf>
    <xf numFmtId="3" fontId="28" fillId="0" borderId="12" xfId="57" applyNumberFormat="1" applyFont="1" applyBorder="1" applyAlignment="1" applyProtection="1">
      <alignment vertical="center"/>
      <protection hidden="1"/>
    </xf>
    <xf numFmtId="0" fontId="31" fillId="0" borderId="11" xfId="57" applyFont="1" applyBorder="1" applyAlignment="1" applyProtection="1">
      <alignment vertical="center"/>
      <protection hidden="1"/>
    </xf>
    <xf numFmtId="0" fontId="31" fillId="0" borderId="0" xfId="57" applyFont="1" applyBorder="1" applyAlignment="1" applyProtection="1">
      <alignment vertical="center"/>
      <protection hidden="1"/>
    </xf>
    <xf numFmtId="0" fontId="25" fillId="0" borderId="0" xfId="57" applyFont="1" applyBorder="1" applyAlignment="1" applyProtection="1">
      <alignment vertical="center"/>
      <protection hidden="1"/>
    </xf>
    <xf numFmtId="0" fontId="25" fillId="0" borderId="12" xfId="57" applyFont="1" applyBorder="1" applyAlignment="1" applyProtection="1">
      <alignment vertical="center"/>
      <protection hidden="1"/>
    </xf>
    <xf numFmtId="0" fontId="31" fillId="0" borderId="24" xfId="57" applyFont="1" applyBorder="1" applyAlignment="1" applyProtection="1">
      <alignment vertical="center"/>
      <protection hidden="1"/>
    </xf>
    <xf numFmtId="0" fontId="31" fillId="0" borderId="13" xfId="57" applyFont="1" applyBorder="1" applyAlignment="1" applyProtection="1">
      <alignment vertical="center"/>
      <protection hidden="1"/>
    </xf>
    <xf numFmtId="0" fontId="25" fillId="0" borderId="13" xfId="57" applyFont="1" applyBorder="1" applyAlignment="1" applyProtection="1">
      <alignment vertical="center"/>
      <protection hidden="1"/>
    </xf>
    <xf numFmtId="0" fontId="25" fillId="0" borderId="14" xfId="57" applyFont="1" applyBorder="1" applyAlignment="1" applyProtection="1">
      <alignment vertical="center"/>
      <protection hidden="1"/>
    </xf>
    <xf numFmtId="0" fontId="24" fillId="0" borderId="11" xfId="57" applyFont="1" applyBorder="1" applyAlignment="1" applyProtection="1">
      <alignment horizontal="center" vertical="center"/>
      <protection hidden="1"/>
    </xf>
    <xf numFmtId="0" fontId="24" fillId="0" borderId="12" xfId="57" applyFont="1" applyBorder="1" applyAlignment="1" applyProtection="1">
      <alignment horizontal="center" vertical="center"/>
      <protection hidden="1"/>
    </xf>
    <xf numFmtId="0" fontId="28" fillId="0" borderId="27" xfId="57" applyFont="1" applyBorder="1" applyAlignment="1" applyProtection="1">
      <alignment horizontal="left" vertical="center"/>
      <protection hidden="1"/>
    </xf>
    <xf numFmtId="0" fontId="28" fillId="0" borderId="30" xfId="57" applyFont="1" applyBorder="1" applyAlignment="1" applyProtection="1">
      <alignment horizontal="left" vertical="center"/>
      <protection hidden="1"/>
    </xf>
    <xf numFmtId="0" fontId="24" fillId="0" borderId="32" xfId="57" applyFont="1" applyBorder="1" applyAlignment="1" applyProtection="1">
      <alignment horizontal="center" vertical="center"/>
      <protection hidden="1"/>
    </xf>
    <xf numFmtId="0" fontId="24" fillId="0" borderId="31" xfId="57" applyFont="1" applyBorder="1" applyAlignment="1" applyProtection="1">
      <alignment horizontal="center" vertical="center"/>
      <protection hidden="1"/>
    </xf>
    <xf numFmtId="0" fontId="24" fillId="0" borderId="36" xfId="57" applyFont="1" applyBorder="1" applyAlignment="1" applyProtection="1">
      <alignment horizontal="center" vertical="center"/>
      <protection hidden="1"/>
    </xf>
    <xf numFmtId="0" fontId="24" fillId="0" borderId="12" xfId="57" applyFont="1" applyBorder="1" applyAlignment="1" applyProtection="1">
      <alignment horizontal="left" vertical="center"/>
      <protection hidden="1"/>
    </xf>
    <xf numFmtId="0" fontId="137" fillId="0" borderId="10" xfId="57" applyFont="1" applyBorder="1" applyAlignment="1">
      <alignment horizontal="center" vertical="center"/>
      <protection/>
    </xf>
    <xf numFmtId="0" fontId="29" fillId="0" borderId="27" xfId="57" applyFont="1" applyBorder="1" applyAlignment="1" applyProtection="1">
      <alignment horizontal="center" vertical="center" wrapText="1"/>
      <protection hidden="1"/>
    </xf>
    <xf numFmtId="0" fontId="29" fillId="0" borderId="30" xfId="57" applyFont="1" applyBorder="1" applyAlignment="1" applyProtection="1">
      <alignment horizontal="center" vertical="center" wrapText="1"/>
      <protection hidden="1"/>
    </xf>
    <xf numFmtId="0" fontId="29" fillId="0" borderId="29" xfId="57" applyFont="1" applyBorder="1" applyAlignment="1" applyProtection="1">
      <alignment horizontal="center" vertical="center" wrapText="1"/>
      <protection hidden="1"/>
    </xf>
    <xf numFmtId="0" fontId="29" fillId="0" borderId="11" xfId="57" applyFont="1" applyBorder="1" applyAlignment="1" applyProtection="1">
      <alignment horizontal="center" vertical="center" wrapText="1"/>
      <protection hidden="1"/>
    </xf>
    <xf numFmtId="0" fontId="29" fillId="0" borderId="0" xfId="57" applyFont="1" applyBorder="1" applyAlignment="1" applyProtection="1">
      <alignment horizontal="center" vertical="center" wrapText="1"/>
      <protection hidden="1"/>
    </xf>
    <xf numFmtId="0" fontId="29" fillId="0" borderId="12" xfId="57" applyFont="1" applyBorder="1" applyAlignment="1" applyProtection="1">
      <alignment horizontal="center" vertical="center" wrapText="1"/>
      <protection hidden="1"/>
    </xf>
    <xf numFmtId="0" fontId="25" fillId="0" borderId="25" xfId="57" applyFont="1" applyBorder="1" applyAlignment="1" applyProtection="1">
      <alignment horizontal="center" vertical="center"/>
      <protection hidden="1"/>
    </xf>
    <xf numFmtId="0" fontId="25" fillId="0" borderId="37" xfId="57" applyFont="1" applyBorder="1" applyAlignment="1" applyProtection="1">
      <alignment horizontal="center" vertical="center"/>
      <protection hidden="1"/>
    </xf>
    <xf numFmtId="0" fontId="25" fillId="0" borderId="28" xfId="57" applyFont="1" applyBorder="1" applyAlignment="1" applyProtection="1">
      <alignment horizontal="center" vertical="center"/>
      <protection hidden="1"/>
    </xf>
    <xf numFmtId="41" fontId="26" fillId="0" borderId="11" xfId="57" applyNumberFormat="1" applyFont="1" applyBorder="1" applyAlignment="1" applyProtection="1">
      <alignment horizontal="center"/>
      <protection hidden="1"/>
    </xf>
    <xf numFmtId="41" fontId="26" fillId="0" borderId="0" xfId="57" applyNumberFormat="1" applyFont="1" applyBorder="1" applyAlignment="1" applyProtection="1">
      <alignment horizontal="center"/>
      <protection hidden="1"/>
    </xf>
    <xf numFmtId="172" fontId="24" fillId="0" borderId="0" xfId="57" applyNumberFormat="1" applyFont="1" applyFill="1" applyBorder="1" applyAlignment="1" applyProtection="1">
      <alignment horizontal="center"/>
      <protection hidden="1"/>
    </xf>
    <xf numFmtId="0" fontId="24" fillId="0" borderId="0" xfId="57" applyFont="1" applyFill="1" applyBorder="1" applyAlignment="1" applyProtection="1">
      <alignment horizontal="left"/>
      <protection hidden="1"/>
    </xf>
    <xf numFmtId="0" fontId="84" fillId="0" borderId="10" xfId="57" applyFont="1" applyFill="1" applyBorder="1" applyAlignment="1" applyProtection="1">
      <alignment horizontal="center"/>
      <protection hidden="1"/>
    </xf>
    <xf numFmtId="49" fontId="84" fillId="0" borderId="32" xfId="57" applyNumberFormat="1" applyFont="1" applyFill="1" applyBorder="1" applyAlignment="1" applyProtection="1">
      <alignment horizontal="center" vertical="center"/>
      <protection hidden="1"/>
    </xf>
    <xf numFmtId="49" fontId="84" fillId="0" borderId="36" xfId="57" applyNumberFormat="1" applyFont="1" applyFill="1" applyBorder="1" applyAlignment="1" applyProtection="1">
      <alignment horizontal="center" vertical="center"/>
      <protection hidden="1"/>
    </xf>
    <xf numFmtId="49" fontId="84" fillId="0" borderId="10" xfId="57" applyNumberFormat="1" applyFont="1" applyFill="1" applyBorder="1" applyAlignment="1" applyProtection="1">
      <alignment horizontal="center" vertical="center"/>
      <protection hidden="1"/>
    </xf>
    <xf numFmtId="0" fontId="25" fillId="0" borderId="0" xfId="57" applyFont="1" applyFill="1" applyBorder="1" applyAlignment="1" applyProtection="1">
      <alignment horizontal="center"/>
      <protection hidden="1"/>
    </xf>
    <xf numFmtId="0" fontId="26" fillId="0" borderId="11" xfId="57" applyFont="1" applyFill="1" applyBorder="1" applyAlignment="1" applyProtection="1">
      <alignment horizontal="left" vertical="center" wrapText="1" indent="1"/>
      <protection hidden="1"/>
    </xf>
    <xf numFmtId="0" fontId="26" fillId="0" borderId="0" xfId="57" applyFont="1" applyFill="1" applyBorder="1" applyAlignment="1" applyProtection="1">
      <alignment horizontal="left" vertical="center" wrapText="1" indent="1"/>
      <protection hidden="1"/>
    </xf>
    <xf numFmtId="0" fontId="26" fillId="0" borderId="12" xfId="57" applyFont="1" applyFill="1" applyBorder="1" applyAlignment="1" applyProtection="1">
      <alignment horizontal="left" vertical="center" wrapText="1" indent="1"/>
      <protection hidden="1"/>
    </xf>
    <xf numFmtId="0" fontId="25" fillId="0" borderId="12" xfId="57" applyFont="1" applyFill="1" applyBorder="1" applyAlignment="1" applyProtection="1">
      <alignment horizontal="center"/>
      <protection hidden="1"/>
    </xf>
    <xf numFmtId="0" fontId="25" fillId="0" borderId="24" xfId="57" applyFont="1" applyFill="1" applyBorder="1" applyAlignment="1" applyProtection="1">
      <alignment horizontal="center"/>
      <protection hidden="1"/>
    </xf>
    <xf numFmtId="0" fontId="25" fillId="0" borderId="14" xfId="57" applyFont="1" applyFill="1" applyBorder="1" applyAlignment="1" applyProtection="1">
      <alignment horizontal="center"/>
      <protection hidden="1"/>
    </xf>
    <xf numFmtId="0" fontId="25" fillId="0" borderId="13" xfId="57" applyFont="1" applyFill="1" applyBorder="1" applyAlignment="1" applyProtection="1">
      <alignment horizontal="center"/>
      <protection hidden="1"/>
    </xf>
    <xf numFmtId="0" fontId="28" fillId="0" borderId="11" xfId="57" applyFont="1" applyFill="1" applyBorder="1" applyAlignment="1" applyProtection="1">
      <alignment horizontal="center" shrinkToFit="1"/>
      <protection hidden="1"/>
    </xf>
    <xf numFmtId="0" fontId="28" fillId="0" borderId="0" xfId="57" applyFont="1" applyFill="1" applyBorder="1" applyAlignment="1" applyProtection="1">
      <alignment horizontal="center" shrinkToFit="1"/>
      <protection hidden="1"/>
    </xf>
    <xf numFmtId="0" fontId="28" fillId="0" borderId="12" xfId="57" applyFont="1" applyFill="1" applyBorder="1" applyAlignment="1" applyProtection="1">
      <alignment horizontal="center" shrinkToFit="1"/>
      <protection hidden="1"/>
    </xf>
    <xf numFmtId="0" fontId="24" fillId="0" borderId="11" xfId="57" applyFont="1" applyFill="1" applyBorder="1" applyAlignment="1" applyProtection="1">
      <alignment horizontal="center"/>
      <protection hidden="1"/>
    </xf>
    <xf numFmtId="0" fontId="24" fillId="0" borderId="0" xfId="57" applyFont="1" applyFill="1" applyBorder="1" applyAlignment="1" applyProtection="1">
      <alignment horizontal="center"/>
      <protection hidden="1"/>
    </xf>
    <xf numFmtId="0" fontId="24" fillId="0" borderId="12" xfId="57" applyFont="1" applyFill="1" applyBorder="1" applyAlignment="1" applyProtection="1">
      <alignment horizontal="center"/>
      <protection hidden="1"/>
    </xf>
    <xf numFmtId="0" fontId="25" fillId="0" borderId="27" xfId="57" applyFont="1" applyFill="1" applyBorder="1" applyAlignment="1" applyProtection="1">
      <alignment horizontal="center"/>
      <protection hidden="1"/>
    </xf>
    <xf numFmtId="0" fontId="25" fillId="0" borderId="29" xfId="57" applyFont="1" applyFill="1" applyBorder="1" applyAlignment="1" applyProtection="1">
      <alignment horizontal="center"/>
      <protection hidden="1"/>
    </xf>
    <xf numFmtId="0" fontId="25" fillId="0" borderId="30" xfId="57" applyFont="1" applyFill="1" applyBorder="1" applyAlignment="1" applyProtection="1">
      <alignment horizontal="center"/>
      <protection hidden="1"/>
    </xf>
    <xf numFmtId="0" fontId="25" fillId="0" borderId="11" xfId="57" applyFont="1" applyFill="1" applyBorder="1" applyAlignment="1" applyProtection="1">
      <alignment horizontal="center"/>
      <protection hidden="1"/>
    </xf>
    <xf numFmtId="0" fontId="25" fillId="0" borderId="11" xfId="57" applyFont="1" applyFill="1" applyBorder="1" applyAlignment="1" applyProtection="1">
      <alignment horizontal="center" vertical="center"/>
      <protection hidden="1"/>
    </xf>
    <xf numFmtId="0" fontId="25" fillId="0" borderId="12" xfId="57" applyFont="1" applyFill="1" applyBorder="1" applyAlignment="1" applyProtection="1">
      <alignment horizontal="center" vertical="center"/>
      <protection hidden="1"/>
    </xf>
    <xf numFmtId="0" fontId="29" fillId="0" borderId="0" xfId="57" applyFont="1" applyFill="1" applyBorder="1" applyAlignment="1" applyProtection="1">
      <alignment horizontal="left"/>
      <protection hidden="1"/>
    </xf>
    <xf numFmtId="0" fontId="26" fillId="0" borderId="0" xfId="57" applyFont="1" applyFill="1" applyBorder="1" applyAlignment="1" applyProtection="1">
      <alignment horizontal="left"/>
      <protection hidden="1"/>
    </xf>
    <xf numFmtId="0" fontId="25" fillId="0" borderId="0" xfId="57" applyFont="1" applyFill="1" applyBorder="1" applyAlignment="1" applyProtection="1">
      <alignment horizontal="left" indent="2"/>
      <protection hidden="1"/>
    </xf>
    <xf numFmtId="0" fontId="29" fillId="0" borderId="30" xfId="57" applyFont="1" applyFill="1" applyBorder="1" applyAlignment="1" applyProtection="1">
      <alignment horizontal="left"/>
      <protection hidden="1"/>
    </xf>
    <xf numFmtId="0" fontId="24" fillId="0" borderId="30" xfId="57" applyFont="1" applyFill="1" applyBorder="1" applyAlignment="1" applyProtection="1">
      <alignment horizontal="center"/>
      <protection hidden="1"/>
    </xf>
    <xf numFmtId="0" fontId="29" fillId="0" borderId="0" xfId="57" applyFont="1" applyFill="1" applyBorder="1" applyAlignment="1" applyProtection="1">
      <alignment horizontal="left" vertical="top"/>
      <protection hidden="1"/>
    </xf>
    <xf numFmtId="0" fontId="24" fillId="0" borderId="0" xfId="57" applyFont="1" applyFill="1" applyBorder="1" applyAlignment="1" applyProtection="1">
      <alignment horizontal="center" vertical="top"/>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685800</xdr:colOff>
      <xdr:row>22</xdr:row>
      <xdr:rowOff>171450</xdr:rowOff>
    </xdr:from>
    <xdr:to>
      <xdr:col>4</xdr:col>
      <xdr:colOff>895350</xdr:colOff>
      <xdr:row>25</xdr:row>
      <xdr:rowOff>161925</xdr:rowOff>
    </xdr:to>
    <xdr:sp>
      <xdr:nvSpPr>
        <xdr:cNvPr id="1" name="Curved Connector 16"/>
        <xdr:cNvSpPr>
          <a:spLocks/>
        </xdr:cNvSpPr>
      </xdr:nvSpPr>
      <xdr:spPr>
        <a:xfrm rot="16200000" flipH="1">
          <a:off x="4572000" y="5743575"/>
          <a:ext cx="209550" cy="561975"/>
        </a:xfrm>
        <a:prstGeom prst="curvedConnector3">
          <a:avLst>
            <a:gd name="adj" fmla="val -50847"/>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5</xdr:col>
      <xdr:colOff>180975</xdr:colOff>
      <xdr:row>0</xdr:row>
      <xdr:rowOff>0</xdr:rowOff>
    </xdr:from>
    <xdr:to>
      <xdr:col>5</xdr:col>
      <xdr:colOff>1000125</xdr:colOff>
      <xdr:row>4</xdr:row>
      <xdr:rowOff>161925</xdr:rowOff>
    </xdr:to>
    <xdr:pic>
      <xdr:nvPicPr>
        <xdr:cNvPr id="2" name="Picture 1" descr="stulogo.jpg"/>
        <xdr:cNvPicPr preferRelativeResize="1">
          <a:picLocks noChangeAspect="1"/>
        </xdr:cNvPicPr>
      </xdr:nvPicPr>
      <xdr:blipFill>
        <a:blip r:embed="rId1"/>
        <a:stretch>
          <a:fillRect/>
        </a:stretch>
      </xdr:blipFill>
      <xdr:spPr>
        <a:xfrm>
          <a:off x="5048250" y="0"/>
          <a:ext cx="819150" cy="866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Client\LOCALS~1\Temp\itr2010-11_gnanaprasad.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PREDDY\AppData\Local\Temp\tpr\Downloads\Forms\ITR1_2009_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TPREDDY\Desktop\tax\it2013-14\incometax_2013-14_radharan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table"/>
      <sheetName val="statement1"/>
      <sheetName val="form16-1"/>
      <sheetName val="form16-2"/>
      <sheetName val="itr1"/>
      <sheetName val="itr1p2"/>
      <sheetName val="itr1p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DS"/>
      <sheetName val="Instructions"/>
      <sheetName val="Pre-XML Check"/>
    </sheetNames>
    <sheetDataSet>
      <sheetData sheetId="0">
        <row r="32">
          <cell r="E32" t="str">
            <v>01-ANDAMAN AND NICOBAR ISLANDS</v>
          </cell>
        </row>
        <row r="33">
          <cell r="E33" t="str">
            <v>02-ANDHRA PRADESH</v>
          </cell>
        </row>
        <row r="34">
          <cell r="E34" t="str">
            <v>03-ARUNACHAL PRADESH</v>
          </cell>
        </row>
        <row r="35">
          <cell r="E35" t="str">
            <v>04-ASSAM</v>
          </cell>
        </row>
        <row r="36">
          <cell r="E36" t="str">
            <v>05-BIHAR</v>
          </cell>
        </row>
        <row r="37">
          <cell r="E37" t="str">
            <v>06-CHANDIGARH</v>
          </cell>
        </row>
        <row r="38">
          <cell r="E38" t="str">
            <v>07-DADRA AND NAGAR HAVELI</v>
          </cell>
        </row>
        <row r="39">
          <cell r="E39" t="str">
            <v>08-DAMAN AND DIU</v>
          </cell>
        </row>
        <row r="40">
          <cell r="E40" t="str">
            <v>09-DELHI</v>
          </cell>
        </row>
        <row r="41">
          <cell r="E41" t="str">
            <v>10-GOA</v>
          </cell>
        </row>
        <row r="42">
          <cell r="E42" t="str">
            <v>11-GUJARAT</v>
          </cell>
        </row>
        <row r="43">
          <cell r="E43" t="str">
            <v>12-HARYANA</v>
          </cell>
        </row>
        <row r="44">
          <cell r="E44" t="str">
            <v>13-HIMACHAL PRADESH</v>
          </cell>
        </row>
        <row r="45">
          <cell r="E45" t="str">
            <v>14-JAMMU AND KASHMIR</v>
          </cell>
        </row>
        <row r="46">
          <cell r="E46" t="str">
            <v>15-KARNATAKA</v>
          </cell>
        </row>
        <row r="47">
          <cell r="E47" t="str">
            <v>16-KERALA</v>
          </cell>
        </row>
        <row r="48">
          <cell r="E48" t="str">
            <v>17-LAKHSWADEEP</v>
          </cell>
        </row>
        <row r="49">
          <cell r="E49" t="str">
            <v>18-MADHYA PRADESH</v>
          </cell>
        </row>
        <row r="50">
          <cell r="E50" t="str">
            <v>19-MAHARASHTRA</v>
          </cell>
        </row>
        <row r="51">
          <cell r="E51" t="str">
            <v>20-MANIPUR</v>
          </cell>
        </row>
        <row r="52">
          <cell r="E52" t="str">
            <v>21-MEGHALAYA</v>
          </cell>
        </row>
        <row r="53">
          <cell r="E53" t="str">
            <v>22-MIZORAM</v>
          </cell>
        </row>
        <row r="54">
          <cell r="E54" t="str">
            <v>23-NAGALAND</v>
          </cell>
        </row>
        <row r="55">
          <cell r="E55" t="str">
            <v>24-ORISSA</v>
          </cell>
        </row>
        <row r="56">
          <cell r="E56" t="str">
            <v>25-PONDICHERRY</v>
          </cell>
        </row>
        <row r="57">
          <cell r="E57" t="str">
            <v>26-PUNJAB</v>
          </cell>
        </row>
        <row r="58">
          <cell r="E58" t="str">
            <v>27-RAJASTHAN</v>
          </cell>
        </row>
        <row r="59">
          <cell r="E59" t="str">
            <v>28-SIKKIM</v>
          </cell>
        </row>
        <row r="60">
          <cell r="E60" t="str">
            <v>29-TAMILNADU</v>
          </cell>
        </row>
        <row r="61">
          <cell r="E61" t="str">
            <v>30-TRIPURA</v>
          </cell>
        </row>
        <row r="62">
          <cell r="E62" t="str">
            <v>31-UTTAR PRADESH</v>
          </cell>
        </row>
        <row r="63">
          <cell r="E63" t="str">
            <v>32-WEST BENGAL</v>
          </cell>
        </row>
        <row r="64">
          <cell r="E64" t="str">
            <v>33-CHHATISHGARH</v>
          </cell>
        </row>
        <row r="65">
          <cell r="E65" t="str">
            <v>34-UTTARANCHAL</v>
          </cell>
        </row>
        <row r="66">
          <cell r="E66" t="str">
            <v>35-JHARKHAND</v>
          </cell>
        </row>
        <row r="67">
          <cell r="E67" t="str">
            <v>99-FOREIGN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heetName val="STATEMENT"/>
      <sheetName val="tax"/>
      <sheetName val="Form 16 page-1"/>
      <sheetName val="Form 16 page-2"/>
      <sheetName val="convert"/>
    </sheetNames>
    <sheetDataSet>
      <sheetData sheetId="0">
        <row r="25">
          <cell r="E25">
            <v>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A1:AE111"/>
  <sheetViews>
    <sheetView tabSelected="1" zoomScalePageLayoutView="0" workbookViewId="0" topLeftCell="A1">
      <selection activeCell="I1" sqref="I1:R16384"/>
    </sheetView>
  </sheetViews>
  <sheetFormatPr defaultColWidth="9.140625" defaultRowHeight="12.75"/>
  <cols>
    <col min="1" max="1" width="6.140625" style="0" customWidth="1"/>
    <col min="2" max="2" width="23.00390625" style="0" customWidth="1"/>
    <col min="3" max="3" width="20.00390625" style="0" customWidth="1"/>
    <col min="5" max="5" width="14.7109375" style="0" customWidth="1"/>
    <col min="6" max="6" width="26.57421875" style="0" customWidth="1"/>
    <col min="7" max="7" width="15.140625" style="0" customWidth="1"/>
    <col min="8" max="8" width="6.421875" style="0" customWidth="1"/>
    <col min="9" max="9" width="5.140625" style="0" hidden="1" customWidth="1"/>
    <col min="10" max="11" width="5.57421875" style="0" hidden="1" customWidth="1"/>
    <col min="12" max="12" width="7.57421875" style="0" hidden="1" customWidth="1"/>
    <col min="13" max="13" width="12.140625" style="0" hidden="1" customWidth="1"/>
    <col min="14" max="14" width="7.57421875" style="0" hidden="1" customWidth="1"/>
    <col min="15" max="15" width="6.00390625" style="0" hidden="1" customWidth="1"/>
    <col min="16" max="16" width="5.8515625" style="0" hidden="1" customWidth="1"/>
    <col min="17" max="17" width="7.28125" style="0" hidden="1" customWidth="1"/>
    <col min="18" max="18" width="12.421875" style="0" hidden="1" customWidth="1"/>
    <col min="19" max="19" width="5.8515625" style="0" customWidth="1"/>
    <col min="20" max="21" width="8.00390625" style="0" customWidth="1"/>
    <col min="22" max="23" width="11.57421875" style="0" customWidth="1"/>
    <col min="24" max="26" width="9.140625" style="0" hidden="1" customWidth="1"/>
    <col min="27" max="27" width="0" style="0" hidden="1" customWidth="1"/>
    <col min="28" max="28" width="9.140625" style="0" hidden="1" customWidth="1"/>
    <col min="29" max="32" width="0" style="0" hidden="1" customWidth="1"/>
  </cols>
  <sheetData>
    <row r="1" spans="1:23" ht="12.75">
      <c r="A1" s="295" t="s">
        <v>337</v>
      </c>
      <c r="B1" s="295"/>
      <c r="C1" s="295"/>
      <c r="D1" s="295"/>
      <c r="E1" s="295"/>
      <c r="F1" s="156"/>
      <c r="G1" s="157"/>
      <c r="V1" s="154"/>
      <c r="W1" s="154"/>
    </row>
    <row r="2" spans="1:23" ht="12.75">
      <c r="A2" s="295"/>
      <c r="B2" s="295"/>
      <c r="C2" s="295"/>
      <c r="D2" s="295"/>
      <c r="E2" s="295"/>
      <c r="F2" s="155"/>
      <c r="G2" s="156"/>
      <c r="N2">
        <v>1</v>
      </c>
      <c r="O2">
        <v>0</v>
      </c>
      <c r="P2">
        <f>IF(D19=1,STATEMENT!C14,0)</f>
        <v>0</v>
      </c>
      <c r="V2" s="154"/>
      <c r="W2" s="154"/>
    </row>
    <row r="3" spans="1:23" ht="15">
      <c r="A3" s="150">
        <v>1</v>
      </c>
      <c r="B3" s="291" t="s">
        <v>11</v>
      </c>
      <c r="C3" s="292"/>
      <c r="D3" s="296" t="s">
        <v>425</v>
      </c>
      <c r="E3" s="297"/>
      <c r="F3" s="155"/>
      <c r="G3" s="156"/>
      <c r="N3">
        <v>2</v>
      </c>
      <c r="O3">
        <v>100</v>
      </c>
      <c r="P3">
        <f>IF(D19=2,STATEMENT!C15,0)</f>
        <v>0</v>
      </c>
      <c r="V3" s="154"/>
      <c r="W3" s="154"/>
    </row>
    <row r="4" spans="1:23" ht="15">
      <c r="A4" s="150">
        <v>2</v>
      </c>
      <c r="B4" s="291" t="s">
        <v>70</v>
      </c>
      <c r="C4" s="292"/>
      <c r="D4" s="198" t="s">
        <v>424</v>
      </c>
      <c r="E4" s="197"/>
      <c r="F4" s="155"/>
      <c r="G4" s="156"/>
      <c r="N4">
        <v>3</v>
      </c>
      <c r="O4">
        <v>120</v>
      </c>
      <c r="P4">
        <f>IF(D19=3,STATEMENT!C4,0)</f>
        <v>0</v>
      </c>
      <c r="V4" s="154"/>
      <c r="W4" s="154"/>
    </row>
    <row r="5" spans="1:23" ht="15">
      <c r="A5" s="150">
        <v>3</v>
      </c>
      <c r="B5" s="291" t="s">
        <v>12</v>
      </c>
      <c r="C5" s="292"/>
      <c r="D5" s="296"/>
      <c r="E5" s="297"/>
      <c r="F5" s="155"/>
      <c r="G5" s="156"/>
      <c r="N5">
        <v>4</v>
      </c>
      <c r="O5">
        <v>130</v>
      </c>
      <c r="P5">
        <f>IF(D19=4,STATEMENT!C5,0)</f>
        <v>0</v>
      </c>
      <c r="V5" s="154"/>
      <c r="W5" s="154"/>
    </row>
    <row r="6" spans="1:23" ht="15">
      <c r="A6" s="150">
        <v>4</v>
      </c>
      <c r="B6" s="291" t="s">
        <v>13</v>
      </c>
      <c r="C6" s="292"/>
      <c r="D6" s="300" t="s">
        <v>427</v>
      </c>
      <c r="E6" s="301"/>
      <c r="F6" s="165" t="s">
        <v>428</v>
      </c>
      <c r="G6" s="166" t="s">
        <v>188</v>
      </c>
      <c r="N6">
        <v>5</v>
      </c>
      <c r="O6">
        <v>140</v>
      </c>
      <c r="P6">
        <f>IF(D19=5,STATEMENT!C6,0)</f>
        <v>0</v>
      </c>
      <c r="R6">
        <f>IF(D19=2,STATEMENT!H15,0)</f>
        <v>0</v>
      </c>
      <c r="V6" s="154"/>
      <c r="W6" s="154"/>
    </row>
    <row r="7" spans="1:23" ht="27.75" customHeight="1">
      <c r="A7" s="169"/>
      <c r="B7" s="324" t="s">
        <v>63</v>
      </c>
      <c r="C7" s="324"/>
      <c r="D7" s="169"/>
      <c r="E7" s="170"/>
      <c r="F7" s="174"/>
      <c r="G7" s="175"/>
      <c r="N7">
        <v>6</v>
      </c>
      <c r="O7">
        <v>120</v>
      </c>
      <c r="P7">
        <f>IF(D19=6,STATEMENT!C7,0)</f>
        <v>0</v>
      </c>
      <c r="R7">
        <f>IF(D19=7,STATEMENT!H8,0)</f>
        <v>0</v>
      </c>
      <c r="V7" s="253"/>
      <c r="W7" s="154"/>
    </row>
    <row r="8" spans="1:23" ht="15" customHeight="1">
      <c r="A8" s="150">
        <v>5</v>
      </c>
      <c r="B8" s="262" t="s">
        <v>349</v>
      </c>
      <c r="C8" s="287" t="s">
        <v>419</v>
      </c>
      <c r="D8" s="289">
        <v>17540</v>
      </c>
      <c r="E8" s="290"/>
      <c r="F8" s="313" t="s">
        <v>81</v>
      </c>
      <c r="G8" s="313"/>
      <c r="N8">
        <v>7</v>
      </c>
      <c r="O8">
        <v>160</v>
      </c>
      <c r="P8">
        <f>IF(D19=7,STATEMENT!C8,0)</f>
        <v>0</v>
      </c>
      <c r="R8">
        <f>IF(D19=8,STATEMENT!H9,0)</f>
        <v>0</v>
      </c>
      <c r="V8" s="154"/>
      <c r="W8" s="154"/>
    </row>
    <row r="9" spans="1:23" ht="15" customHeight="1">
      <c r="A9" s="150"/>
      <c r="B9" s="262" t="s">
        <v>350</v>
      </c>
      <c r="C9" s="288"/>
      <c r="D9" s="289">
        <v>17540</v>
      </c>
      <c r="E9" s="290"/>
      <c r="F9" s="319" t="s">
        <v>421</v>
      </c>
      <c r="G9" s="319"/>
      <c r="N9">
        <v>8</v>
      </c>
      <c r="O9">
        <v>220</v>
      </c>
      <c r="P9">
        <f>IF(D19=8,STATEMENT!C9,0)</f>
        <v>0</v>
      </c>
      <c r="R9">
        <f>IF(D19=9,STATEMENT!H10,0)</f>
        <v>0</v>
      </c>
      <c r="V9" s="154"/>
      <c r="W9" s="154"/>
    </row>
    <row r="10" spans="1:23" ht="15" customHeight="1">
      <c r="A10" s="150"/>
      <c r="B10" s="314" t="s">
        <v>351</v>
      </c>
      <c r="C10" s="315"/>
      <c r="D10" s="289">
        <v>17540</v>
      </c>
      <c r="E10" s="290"/>
      <c r="F10" s="319"/>
      <c r="G10" s="319"/>
      <c r="I10">
        <v>12</v>
      </c>
      <c r="N10">
        <v>9</v>
      </c>
      <c r="O10">
        <v>350</v>
      </c>
      <c r="P10">
        <f>IF(D19=9,STATEMENT!C10,0)</f>
        <v>0</v>
      </c>
      <c r="R10">
        <f>IF(D19=10,STATEMENT!H11,0)</f>
        <v>0</v>
      </c>
      <c r="V10" s="154"/>
      <c r="W10" s="154"/>
    </row>
    <row r="11" spans="1:23" ht="15" customHeight="1">
      <c r="A11" s="150">
        <v>6</v>
      </c>
      <c r="B11" s="314" t="s">
        <v>76</v>
      </c>
      <c r="C11" s="315"/>
      <c r="D11" s="304">
        <v>1</v>
      </c>
      <c r="E11" s="305"/>
      <c r="F11" s="319"/>
      <c r="G11" s="319"/>
      <c r="I11">
        <v>14.5</v>
      </c>
      <c r="L11">
        <f>IF(D18=1,D13,0)</f>
        <v>35</v>
      </c>
      <c r="M11">
        <f>IF(G19=15,L11/2,L11)</f>
        <v>17.5</v>
      </c>
      <c r="N11">
        <v>10</v>
      </c>
      <c r="O11">
        <v>200</v>
      </c>
      <c r="P11">
        <f>IF(D19=10,STATEMENT!C11,0)</f>
        <v>17540</v>
      </c>
      <c r="R11">
        <f>IF(D19=11,STATEMENT!H12,0)</f>
        <v>0</v>
      </c>
      <c r="V11" s="154"/>
      <c r="W11" s="154"/>
    </row>
    <row r="12" spans="1:23" ht="15" customHeight="1">
      <c r="A12" s="150">
        <v>7</v>
      </c>
      <c r="B12" s="314" t="s">
        <v>77</v>
      </c>
      <c r="C12" s="315"/>
      <c r="D12" s="289">
        <v>18030</v>
      </c>
      <c r="E12" s="290"/>
      <c r="F12" s="319"/>
      <c r="G12" s="319"/>
      <c r="I12">
        <v>20</v>
      </c>
      <c r="L12">
        <f>IF(D18=1,D14,0)</f>
        <v>45</v>
      </c>
      <c r="M12">
        <f>IF(G19=15,L12/2,L12)</f>
        <v>22.5</v>
      </c>
      <c r="N12">
        <v>11</v>
      </c>
      <c r="O12">
        <v>300</v>
      </c>
      <c r="P12">
        <f>IF(D19=11,STATEMENT!C12,0)</f>
        <v>0</v>
      </c>
      <c r="R12">
        <f>IF(D19=12,STATEMENT!H13,0)</f>
        <v>0</v>
      </c>
      <c r="U12" s="254"/>
      <c r="V12" s="154"/>
      <c r="W12" s="154"/>
    </row>
    <row r="13" spans="1:25" ht="15">
      <c r="A13" s="150">
        <v>7</v>
      </c>
      <c r="B13" s="314" t="s">
        <v>420</v>
      </c>
      <c r="C13" s="315"/>
      <c r="D13" s="217">
        <v>35</v>
      </c>
      <c r="E13" s="218"/>
      <c r="F13" s="319"/>
      <c r="G13" s="319"/>
      <c r="L13">
        <f>IF(G19=15,L12/2)</f>
        <v>22.5</v>
      </c>
      <c r="M13">
        <f>ROUND(M11,0)</f>
        <v>18</v>
      </c>
      <c r="N13" s="2">
        <v>12</v>
      </c>
      <c r="O13">
        <v>350</v>
      </c>
      <c r="P13">
        <f>IF(D19=12,STATEMENT!C13,0)</f>
        <v>0</v>
      </c>
      <c r="R13">
        <f>IF(D19=1,STATEMENT!H14,0)</f>
        <v>0</v>
      </c>
      <c r="V13" s="154"/>
      <c r="W13" s="154"/>
      <c r="X13">
        <v>0</v>
      </c>
      <c r="Y13">
        <v>1</v>
      </c>
    </row>
    <row r="14" spans="1:25" ht="15">
      <c r="A14" s="150">
        <v>8</v>
      </c>
      <c r="B14" s="291" t="s">
        <v>62</v>
      </c>
      <c r="C14" s="292"/>
      <c r="D14" s="217">
        <v>45</v>
      </c>
      <c r="E14" s="218"/>
      <c r="F14" s="319"/>
      <c r="G14" s="319"/>
      <c r="L14" s="11">
        <f>IF(Data!G19=15,Data!L13,Data!L12)</f>
        <v>22.5</v>
      </c>
      <c r="M14">
        <f>ROUND(M12,0)</f>
        <v>23</v>
      </c>
      <c r="O14">
        <v>525</v>
      </c>
      <c r="P14">
        <f>SUM(P2:P13)</f>
        <v>17540</v>
      </c>
      <c r="R14">
        <f>SUM(R6:R13)</f>
        <v>0</v>
      </c>
      <c r="V14" s="154"/>
      <c r="W14" s="154"/>
      <c r="X14">
        <v>1</v>
      </c>
      <c r="Y14">
        <v>2</v>
      </c>
    </row>
    <row r="15" spans="1:25" s="2" customFormat="1" ht="15">
      <c r="A15" s="150">
        <v>9</v>
      </c>
      <c r="B15" s="308" t="s">
        <v>2</v>
      </c>
      <c r="C15" s="309"/>
      <c r="D15" s="263"/>
      <c r="E15" s="264"/>
      <c r="F15" s="319"/>
      <c r="G15" s="319"/>
      <c r="H15" s="16"/>
      <c r="I15" s="16"/>
      <c r="J15" s="16"/>
      <c r="P15" s="2">
        <f>IF(G19=15,P14/2,P14)</f>
        <v>8770</v>
      </c>
      <c r="Q15" s="11">
        <f>IF(Data!G19=15,Data!G17/2,Data!G17)</f>
        <v>0</v>
      </c>
      <c r="R15" s="2">
        <f>IF(G19=15,R14/2,R14)</f>
        <v>0</v>
      </c>
      <c r="V15" s="152"/>
      <c r="W15" s="152"/>
      <c r="Y15">
        <v>3</v>
      </c>
    </row>
    <row r="16" spans="1:25" s="2" customFormat="1" ht="31.5" customHeight="1">
      <c r="A16" s="177">
        <v>10</v>
      </c>
      <c r="B16" s="306" t="s">
        <v>75</v>
      </c>
      <c r="C16" s="307"/>
      <c r="D16" s="298">
        <v>0</v>
      </c>
      <c r="E16" s="299"/>
      <c r="F16" s="302" t="str">
        <f>IF(D16=0,"No","Yes")</f>
        <v>No</v>
      </c>
      <c r="G16" s="303"/>
      <c r="H16" s="16"/>
      <c r="I16" s="16"/>
      <c r="J16" s="16"/>
      <c r="P16" s="2">
        <f>IF(D18=1,P15,0)</f>
        <v>8770</v>
      </c>
      <c r="Q16" s="2">
        <f>IF(D18=1,Q15,0)</f>
        <v>0</v>
      </c>
      <c r="R16" s="2">
        <f>IF(D18=1,R15,0)</f>
        <v>0</v>
      </c>
      <c r="V16" s="152"/>
      <c r="W16" s="152"/>
      <c r="Y16">
        <v>4</v>
      </c>
    </row>
    <row r="17" spans="1:25" s="2" customFormat="1" ht="33.75" customHeight="1">
      <c r="A17" s="151">
        <v>11</v>
      </c>
      <c r="B17" s="320" t="s">
        <v>14</v>
      </c>
      <c r="C17" s="321"/>
      <c r="D17" s="298">
        <v>12</v>
      </c>
      <c r="E17" s="318"/>
      <c r="F17" s="178" t="s">
        <v>82</v>
      </c>
      <c r="G17" s="194">
        <v>0</v>
      </c>
      <c r="V17" s="152"/>
      <c r="W17" s="152"/>
      <c r="Y17" s="2">
        <v>5</v>
      </c>
    </row>
    <row r="18" spans="1:23" s="2" customFormat="1" ht="34.5" customHeight="1">
      <c r="A18" s="151">
        <v>12</v>
      </c>
      <c r="B18" s="306" t="s">
        <v>343</v>
      </c>
      <c r="C18" s="307"/>
      <c r="D18" s="298">
        <v>1</v>
      </c>
      <c r="E18" s="299"/>
      <c r="F18" s="186" t="str">
        <f>IF(D18=1,"YES","NO")</f>
        <v>YES</v>
      </c>
      <c r="G18" s="194"/>
      <c r="M18" s="261" t="s">
        <v>414</v>
      </c>
      <c r="N18" s="2">
        <f>IF(D19&lt;7,54.784,63.344)</f>
        <v>63.344</v>
      </c>
      <c r="Q18" s="261" t="s">
        <v>415</v>
      </c>
      <c r="R18" s="2">
        <f>IF(D19&lt;7,0,E25)</f>
        <v>27</v>
      </c>
      <c r="V18" s="152"/>
      <c r="W18" s="152"/>
    </row>
    <row r="19" spans="1:23" s="2" customFormat="1" ht="48" customHeight="1">
      <c r="A19" s="151">
        <v>13</v>
      </c>
      <c r="B19" s="322" t="s">
        <v>418</v>
      </c>
      <c r="C19" s="323"/>
      <c r="D19" s="325">
        <v>10</v>
      </c>
      <c r="E19" s="326"/>
      <c r="F19" s="178" t="s">
        <v>342</v>
      </c>
      <c r="G19" s="194">
        <v>15</v>
      </c>
      <c r="V19" s="152"/>
      <c r="W19" s="152"/>
    </row>
    <row r="20" spans="1:26" ht="12.75">
      <c r="A20" s="6"/>
      <c r="B20" s="167" t="s">
        <v>9</v>
      </c>
      <c r="C20" s="167"/>
      <c r="D20" s="167"/>
      <c r="E20" s="6"/>
      <c r="F20" s="155"/>
      <c r="G20" s="156"/>
      <c r="V20" s="154"/>
      <c r="W20" s="154"/>
      <c r="Y20">
        <v>6</v>
      </c>
      <c r="Z20">
        <v>1</v>
      </c>
    </row>
    <row r="21" spans="1:26" ht="15" customHeight="1">
      <c r="A21" s="150">
        <v>1</v>
      </c>
      <c r="B21" s="255" t="s">
        <v>334</v>
      </c>
      <c r="C21" s="199">
        <v>2000</v>
      </c>
      <c r="D21" s="327" t="s">
        <v>336</v>
      </c>
      <c r="E21" s="328"/>
      <c r="G21" s="156"/>
      <c r="V21" s="154"/>
      <c r="W21" s="154"/>
      <c r="Y21">
        <v>7</v>
      </c>
      <c r="Z21">
        <v>2</v>
      </c>
    </row>
    <row r="22" spans="1:25" ht="30" customHeight="1">
      <c r="A22" s="176">
        <v>2</v>
      </c>
      <c r="B22" s="256" t="s">
        <v>335</v>
      </c>
      <c r="C22" s="200">
        <v>1</v>
      </c>
      <c r="D22" s="329"/>
      <c r="E22" s="330"/>
      <c r="G22" s="156"/>
      <c r="V22" s="154"/>
      <c r="W22" s="154"/>
      <c r="Y22">
        <v>8</v>
      </c>
    </row>
    <row r="23" spans="1:25" ht="15">
      <c r="A23" s="150">
        <v>3</v>
      </c>
      <c r="B23" s="255" t="s">
        <v>6</v>
      </c>
      <c r="C23" s="199">
        <v>60</v>
      </c>
      <c r="D23" s="191" t="s">
        <v>346</v>
      </c>
      <c r="E23" s="192">
        <v>54.784</v>
      </c>
      <c r="F23" s="189" t="s">
        <v>410</v>
      </c>
      <c r="N23">
        <v>15</v>
      </c>
      <c r="O23">
        <v>15</v>
      </c>
      <c r="V23" s="154"/>
      <c r="W23" s="154"/>
      <c r="Y23">
        <v>9</v>
      </c>
    </row>
    <row r="24" spans="1:25" ht="15">
      <c r="A24" s="150">
        <v>4</v>
      </c>
      <c r="B24" s="255" t="s">
        <v>7</v>
      </c>
      <c r="C24" s="199">
        <v>600</v>
      </c>
      <c r="D24" s="191" t="s">
        <v>347</v>
      </c>
      <c r="E24" s="193">
        <v>63.344</v>
      </c>
      <c r="F24" s="189" t="s">
        <v>422</v>
      </c>
      <c r="N24">
        <v>30</v>
      </c>
      <c r="O24">
        <v>30</v>
      </c>
      <c r="V24" s="154"/>
      <c r="W24" s="154"/>
      <c r="Y24">
        <v>10</v>
      </c>
    </row>
    <row r="25" spans="1:31" ht="15">
      <c r="A25" s="151"/>
      <c r="B25" s="257"/>
      <c r="C25" s="201">
        <v>0</v>
      </c>
      <c r="D25" s="191" t="s">
        <v>348</v>
      </c>
      <c r="E25" s="193">
        <v>27</v>
      </c>
      <c r="F25" s="190" t="s">
        <v>426</v>
      </c>
      <c r="O25" s="7">
        <v>60</v>
      </c>
      <c r="V25" s="154"/>
      <c r="W25" s="154"/>
      <c r="Y25">
        <v>11</v>
      </c>
      <c r="AE25" s="33"/>
    </row>
    <row r="26" spans="1:28" ht="47.25" customHeight="1">
      <c r="A26" s="151"/>
      <c r="B26" s="255"/>
      <c r="C26" s="199"/>
      <c r="D26" s="316" t="s">
        <v>393</v>
      </c>
      <c r="E26" s="317"/>
      <c r="O26" s="7">
        <v>120</v>
      </c>
      <c r="V26" s="154"/>
      <c r="W26" s="154"/>
      <c r="Y26">
        <v>12</v>
      </c>
      <c r="AB26">
        <v>1</v>
      </c>
    </row>
    <row r="27" spans="1:6" ht="45" customHeight="1">
      <c r="A27" s="151">
        <v>9</v>
      </c>
      <c r="B27" s="269" t="s">
        <v>429</v>
      </c>
      <c r="C27" s="202">
        <v>6700</v>
      </c>
      <c r="D27" s="171" t="s">
        <v>340</v>
      </c>
      <c r="E27" s="173">
        <v>2</v>
      </c>
      <c r="F27" s="260" t="s">
        <v>338</v>
      </c>
    </row>
    <row r="28" spans="1:7" ht="30" customHeight="1">
      <c r="A28" s="151">
        <v>10</v>
      </c>
      <c r="B28" s="258" t="s">
        <v>305</v>
      </c>
      <c r="C28" s="195" t="s">
        <v>311</v>
      </c>
      <c r="D28" s="149" t="s">
        <v>306</v>
      </c>
      <c r="F28" s="293" t="s">
        <v>423</v>
      </c>
      <c r="G28" s="293"/>
    </row>
    <row r="29" spans="1:7" ht="30" customHeight="1">
      <c r="A29" s="151"/>
      <c r="B29" s="258" t="s">
        <v>310</v>
      </c>
      <c r="C29" s="195" t="s">
        <v>344</v>
      </c>
      <c r="D29" s="158"/>
      <c r="F29" s="293"/>
      <c r="G29" s="293"/>
    </row>
    <row r="30" spans="1:7" ht="30" customHeight="1">
      <c r="A30" s="151"/>
      <c r="B30" s="258" t="s">
        <v>330</v>
      </c>
      <c r="C30" s="196" t="s">
        <v>331</v>
      </c>
      <c r="D30" s="158"/>
      <c r="F30" s="293"/>
      <c r="G30" s="293"/>
    </row>
    <row r="31" spans="1:23" ht="21.75" customHeight="1">
      <c r="A31" s="5"/>
      <c r="B31" s="334" t="s">
        <v>16</v>
      </c>
      <c r="C31" s="335"/>
      <c r="D31" s="335"/>
      <c r="E31" s="335"/>
      <c r="F31" s="294" t="s">
        <v>412</v>
      </c>
      <c r="G31" s="294"/>
      <c r="H31" s="164"/>
      <c r="I31" s="164"/>
      <c r="J31" s="164"/>
      <c r="K31" s="164"/>
      <c r="L31" s="164"/>
      <c r="M31" s="164"/>
      <c r="N31" s="164"/>
      <c r="O31" s="164"/>
      <c r="P31" s="164"/>
      <c r="Q31" s="164"/>
      <c r="R31" s="164"/>
      <c r="S31" s="164"/>
      <c r="T31" s="164"/>
      <c r="U31" s="164"/>
      <c r="V31" s="164"/>
      <c r="W31" s="164"/>
    </row>
    <row r="32" spans="1:23" s="2" customFormat="1" ht="29.25" customHeight="1">
      <c r="A32" s="219">
        <v>1</v>
      </c>
      <c r="B32" s="310" t="s">
        <v>378</v>
      </c>
      <c r="C32" s="311"/>
      <c r="D32" s="312"/>
      <c r="E32" s="203"/>
      <c r="F32" s="259" t="s">
        <v>353</v>
      </c>
      <c r="G32" s="252"/>
      <c r="H32" s="152"/>
      <c r="I32" s="152"/>
      <c r="J32" s="152"/>
      <c r="K32" s="152"/>
      <c r="L32" s="152"/>
      <c r="M32" s="266">
        <v>6700</v>
      </c>
      <c r="N32" s="152"/>
      <c r="O32" s="152"/>
      <c r="P32" s="152" t="s">
        <v>314</v>
      </c>
      <c r="Q32" s="152"/>
      <c r="R32" s="168"/>
      <c r="S32" s="152"/>
      <c r="T32" s="152"/>
      <c r="U32" s="152"/>
      <c r="V32" s="152"/>
      <c r="W32" s="152"/>
    </row>
    <row r="33" spans="1:23" s="2" customFormat="1" ht="29.25" customHeight="1">
      <c r="A33" s="219">
        <v>2</v>
      </c>
      <c r="B33" s="310" t="s">
        <v>377</v>
      </c>
      <c r="C33" s="311"/>
      <c r="D33" s="312"/>
      <c r="E33" s="203">
        <v>0</v>
      </c>
      <c r="F33" s="259" t="s">
        <v>354</v>
      </c>
      <c r="G33" s="252"/>
      <c r="H33" s="152"/>
      <c r="I33" s="152"/>
      <c r="J33" s="152"/>
      <c r="K33" s="152"/>
      <c r="L33" s="152"/>
      <c r="M33" s="266">
        <v>6900</v>
      </c>
      <c r="N33" s="152"/>
      <c r="O33" s="152"/>
      <c r="P33" s="152" t="s">
        <v>312</v>
      </c>
      <c r="Q33" s="152"/>
      <c r="R33" s="168"/>
      <c r="S33" s="152"/>
      <c r="T33" s="152"/>
      <c r="U33" s="152"/>
      <c r="V33" s="152"/>
      <c r="W33" s="152"/>
    </row>
    <row r="34" spans="1:23" s="2" customFormat="1" ht="29.25" customHeight="1">
      <c r="A34" s="219">
        <v>3</v>
      </c>
      <c r="B34" s="310" t="s">
        <v>45</v>
      </c>
      <c r="C34" s="311"/>
      <c r="D34" s="312"/>
      <c r="E34" s="203"/>
      <c r="F34" s="259" t="s">
        <v>355</v>
      </c>
      <c r="G34" s="252"/>
      <c r="H34" s="152"/>
      <c r="I34" s="152"/>
      <c r="J34" s="152"/>
      <c r="K34" s="152"/>
      <c r="L34" s="152"/>
      <c r="M34" s="267">
        <v>7100</v>
      </c>
      <c r="N34" s="152"/>
      <c r="O34" s="152"/>
      <c r="P34" s="152" t="s">
        <v>52</v>
      </c>
      <c r="Q34" s="152"/>
      <c r="R34" s="168"/>
      <c r="S34" s="152"/>
      <c r="T34" s="152"/>
      <c r="U34" s="152"/>
      <c r="V34" s="152"/>
      <c r="W34" s="152"/>
    </row>
    <row r="35" spans="1:23" s="2" customFormat="1" ht="29.25" customHeight="1">
      <c r="A35" s="219">
        <v>4</v>
      </c>
      <c r="B35" s="310" t="s">
        <v>389</v>
      </c>
      <c r="C35" s="311"/>
      <c r="D35" s="312"/>
      <c r="E35" s="203"/>
      <c r="F35" s="259" t="s">
        <v>356</v>
      </c>
      <c r="G35" s="252"/>
      <c r="H35" s="152"/>
      <c r="I35" s="152"/>
      <c r="J35" s="152"/>
      <c r="K35" s="152"/>
      <c r="L35" s="152"/>
      <c r="M35" s="267">
        <v>7300</v>
      </c>
      <c r="N35" s="152"/>
      <c r="O35" s="152"/>
      <c r="P35" s="152"/>
      <c r="Q35" s="152"/>
      <c r="R35" s="168"/>
      <c r="S35" s="152"/>
      <c r="T35" s="152"/>
      <c r="U35" s="152"/>
      <c r="V35" s="152"/>
      <c r="W35" s="152"/>
    </row>
    <row r="36" spans="1:23" s="2" customFormat="1" ht="29.25" customHeight="1">
      <c r="A36" s="219">
        <v>5</v>
      </c>
      <c r="B36" s="310" t="s">
        <v>388</v>
      </c>
      <c r="C36" s="311"/>
      <c r="D36" s="312"/>
      <c r="E36" s="203"/>
      <c r="F36" s="259" t="s">
        <v>357</v>
      </c>
      <c r="G36" s="252"/>
      <c r="H36" s="152"/>
      <c r="I36" s="152"/>
      <c r="J36" s="152"/>
      <c r="K36" s="152"/>
      <c r="L36" s="152"/>
      <c r="M36" s="267">
        <v>7520</v>
      </c>
      <c r="N36" s="152"/>
      <c r="O36" s="152"/>
      <c r="P36" s="152"/>
      <c r="Q36" s="152"/>
      <c r="R36" s="168"/>
      <c r="S36" s="152"/>
      <c r="T36" s="251"/>
      <c r="U36" s="152"/>
      <c r="V36" s="152"/>
      <c r="W36" s="152"/>
    </row>
    <row r="37" spans="1:23" s="2" customFormat="1" ht="29.25" customHeight="1">
      <c r="A37" s="219">
        <v>6</v>
      </c>
      <c r="B37" s="310" t="s">
        <v>417</v>
      </c>
      <c r="C37" s="311"/>
      <c r="D37" s="312"/>
      <c r="E37" s="203"/>
      <c r="F37" s="259" t="s">
        <v>358</v>
      </c>
      <c r="G37" s="252"/>
      <c r="H37" s="152"/>
      <c r="I37" s="152"/>
      <c r="J37" s="152"/>
      <c r="K37" s="152"/>
      <c r="L37" s="152"/>
      <c r="M37" s="267">
        <v>7740</v>
      </c>
      <c r="N37" s="152"/>
      <c r="O37" s="152"/>
      <c r="P37" s="152"/>
      <c r="Q37" s="152"/>
      <c r="R37" s="168"/>
      <c r="S37" s="152"/>
      <c r="T37" s="152"/>
      <c r="U37" s="152"/>
      <c r="V37" s="152"/>
      <c r="W37" s="152"/>
    </row>
    <row r="38" spans="1:23" s="2" customFormat="1" ht="29.25" customHeight="1">
      <c r="A38" s="219">
        <v>7</v>
      </c>
      <c r="B38" s="310" t="s">
        <v>430</v>
      </c>
      <c r="C38" s="311"/>
      <c r="D38" s="312"/>
      <c r="E38" s="203"/>
      <c r="F38" s="259" t="s">
        <v>359</v>
      </c>
      <c r="G38" s="252"/>
      <c r="H38" s="152"/>
      <c r="I38" s="152"/>
      <c r="J38" s="152"/>
      <c r="K38" s="152"/>
      <c r="L38" s="152"/>
      <c r="M38" s="267">
        <v>7960</v>
      </c>
      <c r="N38" s="152"/>
      <c r="O38" s="152"/>
      <c r="P38" s="152"/>
      <c r="Q38" s="152"/>
      <c r="R38" s="168"/>
      <c r="S38" s="152"/>
      <c r="T38" s="152"/>
      <c r="U38" s="152"/>
      <c r="V38" s="152"/>
      <c r="W38" s="152"/>
    </row>
    <row r="39" spans="1:23" s="2" customFormat="1" ht="29.25" customHeight="1">
      <c r="A39" s="219">
        <v>8</v>
      </c>
      <c r="B39" s="310" t="s">
        <v>379</v>
      </c>
      <c r="C39" s="311"/>
      <c r="D39" s="312"/>
      <c r="E39" s="203"/>
      <c r="F39" s="259" t="s">
        <v>360</v>
      </c>
      <c r="G39" s="252"/>
      <c r="H39" s="152"/>
      <c r="I39" s="152"/>
      <c r="J39" s="152"/>
      <c r="K39" s="152"/>
      <c r="L39" s="152"/>
      <c r="M39" s="267">
        <v>8200</v>
      </c>
      <c r="N39" s="152"/>
      <c r="O39" s="152"/>
      <c r="P39" s="152" t="s">
        <v>313</v>
      </c>
      <c r="Q39" s="152"/>
      <c r="R39" s="168"/>
      <c r="S39" s="152"/>
      <c r="T39" s="152"/>
      <c r="U39" s="152"/>
      <c r="V39" s="152"/>
      <c r="W39" s="152"/>
    </row>
    <row r="40" spans="1:23" s="2" customFormat="1" ht="29.25" customHeight="1">
      <c r="A40" s="219">
        <v>9</v>
      </c>
      <c r="B40" s="310" t="s">
        <v>380</v>
      </c>
      <c r="C40" s="311"/>
      <c r="D40" s="312"/>
      <c r="E40" s="203"/>
      <c r="F40" s="259" t="s">
        <v>361</v>
      </c>
      <c r="G40" s="252"/>
      <c r="H40" s="152"/>
      <c r="I40" s="152"/>
      <c r="J40" s="152"/>
      <c r="K40" s="152"/>
      <c r="L40" s="152"/>
      <c r="M40" s="267">
        <v>8440</v>
      </c>
      <c r="N40" s="152"/>
      <c r="O40" s="152"/>
      <c r="P40" s="152"/>
      <c r="Q40" s="152"/>
      <c r="R40" s="168"/>
      <c r="S40" s="152"/>
      <c r="T40" s="152"/>
      <c r="U40" s="152"/>
      <c r="V40" s="152"/>
      <c r="W40" s="152"/>
    </row>
    <row r="41" spans="1:23" s="2" customFormat="1" ht="29.25" customHeight="1">
      <c r="A41" s="219">
        <v>10</v>
      </c>
      <c r="B41" s="310" t="s">
        <v>381</v>
      </c>
      <c r="C41" s="311"/>
      <c r="D41" s="312"/>
      <c r="E41" s="203">
        <v>0</v>
      </c>
      <c r="F41" s="259" t="s">
        <v>362</v>
      </c>
      <c r="G41" s="252"/>
      <c r="H41" s="152"/>
      <c r="I41" s="152"/>
      <c r="J41" s="152"/>
      <c r="K41" s="152"/>
      <c r="L41" s="152"/>
      <c r="M41" s="267">
        <v>8680</v>
      </c>
      <c r="N41" s="152"/>
      <c r="O41" s="152"/>
      <c r="P41" s="152" t="s">
        <v>53</v>
      </c>
      <c r="Q41" s="152"/>
      <c r="R41" s="168"/>
      <c r="S41" s="152"/>
      <c r="T41" s="152"/>
      <c r="U41" s="152"/>
      <c r="V41" s="152"/>
      <c r="W41" s="152"/>
    </row>
    <row r="42" spans="1:23" s="2" customFormat="1" ht="29.25" customHeight="1">
      <c r="A42" s="219">
        <v>11</v>
      </c>
      <c r="B42" s="310" t="s">
        <v>382</v>
      </c>
      <c r="C42" s="311"/>
      <c r="D42" s="312"/>
      <c r="E42" s="203">
        <v>0</v>
      </c>
      <c r="F42" s="259" t="s">
        <v>363</v>
      </c>
      <c r="G42" s="252"/>
      <c r="H42" s="152"/>
      <c r="I42" s="152"/>
      <c r="J42" s="152"/>
      <c r="K42" s="152"/>
      <c r="L42" s="152"/>
      <c r="M42" s="267">
        <v>8940</v>
      </c>
      <c r="N42" s="152"/>
      <c r="O42" s="152"/>
      <c r="P42" s="152" t="s">
        <v>54</v>
      </c>
      <c r="Q42" s="152"/>
      <c r="R42" s="168"/>
      <c r="S42" s="152"/>
      <c r="T42" s="152"/>
      <c r="U42" s="152"/>
      <c r="V42" s="152"/>
      <c r="W42" s="152"/>
    </row>
    <row r="43" spans="1:23" s="2" customFormat="1" ht="29.25" customHeight="1">
      <c r="A43" s="219">
        <v>12</v>
      </c>
      <c r="B43" s="310" t="s">
        <v>383</v>
      </c>
      <c r="C43" s="311"/>
      <c r="D43" s="312"/>
      <c r="E43" s="203">
        <v>0</v>
      </c>
      <c r="F43" s="259" t="s">
        <v>364</v>
      </c>
      <c r="G43" s="252"/>
      <c r="H43" s="152"/>
      <c r="I43" s="152"/>
      <c r="J43" s="152"/>
      <c r="K43" s="152"/>
      <c r="L43" s="152"/>
      <c r="M43" s="267">
        <v>9200</v>
      </c>
      <c r="N43" s="152"/>
      <c r="O43" s="152"/>
      <c r="P43" s="152" t="s">
        <v>55</v>
      </c>
      <c r="Q43" s="152"/>
      <c r="R43" s="168"/>
      <c r="S43" s="152"/>
      <c r="T43" s="152"/>
      <c r="U43" s="152"/>
      <c r="V43" s="152"/>
      <c r="W43" s="152"/>
    </row>
    <row r="44" spans="1:23" s="2" customFormat="1" ht="29.25" customHeight="1">
      <c r="A44" s="219">
        <v>13</v>
      </c>
      <c r="B44" s="310" t="s">
        <v>416</v>
      </c>
      <c r="C44" s="311"/>
      <c r="D44" s="312"/>
      <c r="E44" s="203"/>
      <c r="F44" s="152"/>
      <c r="G44" s="152"/>
      <c r="H44" s="152"/>
      <c r="I44" s="152"/>
      <c r="J44" s="152"/>
      <c r="K44" s="152"/>
      <c r="L44" s="152"/>
      <c r="M44" s="267">
        <v>9460</v>
      </c>
      <c r="N44" s="152"/>
      <c r="O44" s="152"/>
      <c r="P44" s="152"/>
      <c r="Q44" s="152"/>
      <c r="R44" s="168"/>
      <c r="S44" s="152"/>
      <c r="T44" s="152"/>
      <c r="U44" s="152"/>
      <c r="V44" s="152"/>
      <c r="W44" s="152"/>
    </row>
    <row r="45" spans="1:23" s="2" customFormat="1" ht="29.25" customHeight="1">
      <c r="A45" s="219">
        <v>14</v>
      </c>
      <c r="B45" s="310" t="s">
        <v>384</v>
      </c>
      <c r="C45" s="311"/>
      <c r="D45" s="312"/>
      <c r="E45" s="203">
        <v>20</v>
      </c>
      <c r="F45" s="152"/>
      <c r="G45" s="152"/>
      <c r="H45" s="152"/>
      <c r="I45" s="152"/>
      <c r="J45" s="152"/>
      <c r="K45" s="152"/>
      <c r="L45" s="152"/>
      <c r="M45" s="267">
        <v>9740</v>
      </c>
      <c r="N45" s="152"/>
      <c r="O45" s="152"/>
      <c r="P45" s="152" t="s">
        <v>56</v>
      </c>
      <c r="Q45" s="152"/>
      <c r="R45" s="168"/>
      <c r="S45" s="152"/>
      <c r="T45" s="152"/>
      <c r="U45" s="152"/>
      <c r="V45" s="152"/>
      <c r="W45" s="152"/>
    </row>
    <row r="46" spans="1:23" s="2" customFormat="1" ht="29.25" customHeight="1">
      <c r="A46" s="219">
        <v>15</v>
      </c>
      <c r="B46" s="310" t="s">
        <v>385</v>
      </c>
      <c r="C46" s="311"/>
      <c r="D46" s="312"/>
      <c r="E46" s="203">
        <v>20</v>
      </c>
      <c r="F46" s="152"/>
      <c r="G46" s="152"/>
      <c r="H46" s="152"/>
      <c r="I46" s="152"/>
      <c r="J46" s="152"/>
      <c r="K46" s="152"/>
      <c r="L46" s="152"/>
      <c r="M46" s="267">
        <v>10020</v>
      </c>
      <c r="N46" s="152"/>
      <c r="O46" s="152"/>
      <c r="P46" s="152" t="s">
        <v>57</v>
      </c>
      <c r="Q46" s="152"/>
      <c r="R46" s="168"/>
      <c r="S46" s="152"/>
      <c r="T46" s="152"/>
      <c r="U46" s="152"/>
      <c r="V46" s="152"/>
      <c r="W46" s="152"/>
    </row>
    <row r="47" spans="1:23" s="2" customFormat="1" ht="29.25" customHeight="1">
      <c r="A47" s="219">
        <v>16</v>
      </c>
      <c r="B47" s="310" t="s">
        <v>386</v>
      </c>
      <c r="C47" s="311"/>
      <c r="D47" s="312"/>
      <c r="E47" s="203">
        <v>0</v>
      </c>
      <c r="F47" s="152"/>
      <c r="G47" s="152"/>
      <c r="H47" s="152"/>
      <c r="I47" s="152"/>
      <c r="J47" s="152"/>
      <c r="K47" s="152"/>
      <c r="L47" s="152"/>
      <c r="M47" s="267">
        <v>10300</v>
      </c>
      <c r="N47" s="152"/>
      <c r="O47" s="152"/>
      <c r="P47" s="152" t="s">
        <v>58</v>
      </c>
      <c r="Q47" s="152"/>
      <c r="R47" s="168"/>
      <c r="S47" s="152"/>
      <c r="T47" s="152"/>
      <c r="U47" s="152"/>
      <c r="V47" s="152"/>
      <c r="W47" s="152"/>
    </row>
    <row r="48" spans="1:23" s="2" customFormat="1" ht="29.25" customHeight="1">
      <c r="A48" s="219">
        <v>17</v>
      </c>
      <c r="B48" s="310" t="s">
        <v>390</v>
      </c>
      <c r="C48" s="311"/>
      <c r="D48" s="312"/>
      <c r="E48" s="203">
        <v>0</v>
      </c>
      <c r="F48" s="152"/>
      <c r="G48" s="152"/>
      <c r="H48" s="152"/>
      <c r="I48" s="152"/>
      <c r="J48" s="152"/>
      <c r="K48" s="152"/>
      <c r="L48" s="152"/>
      <c r="M48" s="267">
        <v>10600</v>
      </c>
      <c r="N48" s="152"/>
      <c r="O48" s="152"/>
      <c r="P48" s="152" t="s">
        <v>59</v>
      </c>
      <c r="Q48" s="152"/>
      <c r="R48" s="168"/>
      <c r="S48" s="152"/>
      <c r="T48" s="152"/>
      <c r="U48" s="152"/>
      <c r="V48" s="152"/>
      <c r="W48" s="152"/>
    </row>
    <row r="49" spans="1:23" s="2" customFormat="1" ht="29.25" customHeight="1">
      <c r="A49" s="219">
        <v>18</v>
      </c>
      <c r="B49" s="339" t="s">
        <v>79</v>
      </c>
      <c r="C49" s="340"/>
      <c r="D49" s="341"/>
      <c r="E49" s="203"/>
      <c r="F49" s="152"/>
      <c r="G49" s="152"/>
      <c r="H49" s="152"/>
      <c r="I49" s="152"/>
      <c r="J49" s="152"/>
      <c r="K49" s="152"/>
      <c r="L49" s="152"/>
      <c r="M49" s="267">
        <v>10900</v>
      </c>
      <c r="N49" s="152"/>
      <c r="O49" s="152"/>
      <c r="P49" s="152" t="s">
        <v>60</v>
      </c>
      <c r="Q49" s="152"/>
      <c r="R49" s="168"/>
      <c r="S49" s="152"/>
      <c r="T49" s="152"/>
      <c r="U49" s="152"/>
      <c r="V49" s="152"/>
      <c r="W49" s="152"/>
    </row>
    <row r="50" spans="1:23" s="2" customFormat="1" ht="29.25" customHeight="1">
      <c r="A50" s="219">
        <v>19</v>
      </c>
      <c r="B50" s="336" t="s">
        <v>382</v>
      </c>
      <c r="C50" s="337"/>
      <c r="D50" s="338"/>
      <c r="E50" s="203"/>
      <c r="F50" s="152"/>
      <c r="G50" s="152"/>
      <c r="H50" s="152"/>
      <c r="I50" s="152"/>
      <c r="J50" s="152"/>
      <c r="K50" s="152"/>
      <c r="L50" s="152"/>
      <c r="M50" s="267">
        <v>11200</v>
      </c>
      <c r="N50" s="152"/>
      <c r="O50" s="152"/>
      <c r="P50" s="152" t="s">
        <v>315</v>
      </c>
      <c r="Q50" s="152"/>
      <c r="R50" s="152"/>
      <c r="S50" s="152"/>
      <c r="T50" s="152"/>
      <c r="U50" s="152"/>
      <c r="V50" s="152"/>
      <c r="W50" s="152"/>
    </row>
    <row r="51" spans="1:23" s="2" customFormat="1" ht="29.25" customHeight="1">
      <c r="A51" s="219">
        <v>20</v>
      </c>
      <c r="B51" s="331" t="s">
        <v>391</v>
      </c>
      <c r="C51" s="332"/>
      <c r="D51" s="333"/>
      <c r="E51" s="203"/>
      <c r="F51" s="152"/>
      <c r="G51" s="152"/>
      <c r="H51" s="152"/>
      <c r="I51" s="152"/>
      <c r="J51" s="152"/>
      <c r="K51" s="152"/>
      <c r="L51" s="152"/>
      <c r="M51" s="267">
        <v>11530</v>
      </c>
      <c r="N51" s="152"/>
      <c r="O51" s="152"/>
      <c r="P51" s="153" t="s">
        <v>51</v>
      </c>
      <c r="Q51" s="152"/>
      <c r="R51" s="152"/>
      <c r="S51" s="152"/>
      <c r="T51" s="152"/>
      <c r="U51" s="152"/>
      <c r="V51" s="152"/>
      <c r="W51" s="152"/>
    </row>
    <row r="52" ht="20.25">
      <c r="M52" s="267">
        <v>11860</v>
      </c>
    </row>
    <row r="53" ht="20.25">
      <c r="M53" s="267">
        <v>12190</v>
      </c>
    </row>
    <row r="54" ht="20.25">
      <c r="M54" s="267">
        <v>12550</v>
      </c>
    </row>
    <row r="55" ht="20.25">
      <c r="M55" s="267">
        <v>12910</v>
      </c>
    </row>
    <row r="56" ht="20.25">
      <c r="M56" s="267">
        <v>13270</v>
      </c>
    </row>
    <row r="57" ht="20.25">
      <c r="M57" s="267">
        <v>13660</v>
      </c>
    </row>
    <row r="58" ht="20.25">
      <c r="M58" s="267">
        <v>14050</v>
      </c>
    </row>
    <row r="59" ht="20.25">
      <c r="M59" s="267">
        <v>14440</v>
      </c>
    </row>
    <row r="60" ht="20.25">
      <c r="M60" s="267">
        <v>14860</v>
      </c>
    </row>
    <row r="61" ht="20.25">
      <c r="M61" s="267">
        <v>15280</v>
      </c>
    </row>
    <row r="62" ht="20.25">
      <c r="M62" s="267">
        <v>15700</v>
      </c>
    </row>
    <row r="63" ht="20.25">
      <c r="M63" s="267">
        <v>16150</v>
      </c>
    </row>
    <row r="64" ht="20.25">
      <c r="M64" s="267">
        <v>16600</v>
      </c>
    </row>
    <row r="65" ht="20.25">
      <c r="M65" s="267">
        <v>17050</v>
      </c>
    </row>
    <row r="66" ht="20.25">
      <c r="M66" s="267">
        <v>17540</v>
      </c>
    </row>
    <row r="67" ht="20.25">
      <c r="M67" s="267">
        <v>18030</v>
      </c>
    </row>
    <row r="68" ht="20.25">
      <c r="M68" s="267">
        <v>18520</v>
      </c>
    </row>
    <row r="69" ht="20.25">
      <c r="M69" s="267">
        <v>19050</v>
      </c>
    </row>
    <row r="70" ht="20.25">
      <c r="M70" s="267">
        <v>19580</v>
      </c>
    </row>
    <row r="71" ht="20.25">
      <c r="M71" s="268">
        <v>20110</v>
      </c>
    </row>
    <row r="72" ht="20.25">
      <c r="M72" s="267">
        <v>20680</v>
      </c>
    </row>
    <row r="73" ht="20.25">
      <c r="M73" s="267">
        <v>21250</v>
      </c>
    </row>
    <row r="74" ht="20.25">
      <c r="M74" s="267">
        <v>21820</v>
      </c>
    </row>
    <row r="75" ht="20.25">
      <c r="M75" s="267">
        <v>22430</v>
      </c>
    </row>
    <row r="76" ht="20.25">
      <c r="M76" s="267">
        <v>23040</v>
      </c>
    </row>
    <row r="77" ht="20.25">
      <c r="M77" s="267">
        <v>23650</v>
      </c>
    </row>
    <row r="78" ht="20.25">
      <c r="M78" s="267">
        <v>24300</v>
      </c>
    </row>
    <row r="79" ht="20.25">
      <c r="M79" s="267">
        <v>24950</v>
      </c>
    </row>
    <row r="80" ht="20.25">
      <c r="M80" s="267">
        <v>25600</v>
      </c>
    </row>
    <row r="81" ht="20.25">
      <c r="M81" s="267">
        <v>26300</v>
      </c>
    </row>
    <row r="82" ht="20.25">
      <c r="M82" s="267">
        <v>27000</v>
      </c>
    </row>
    <row r="83" ht="20.25">
      <c r="M83" s="267">
        <v>27700</v>
      </c>
    </row>
    <row r="84" ht="20.25">
      <c r="M84" s="267">
        <v>28450</v>
      </c>
    </row>
    <row r="85" ht="20.25">
      <c r="M85" s="267">
        <v>29200</v>
      </c>
    </row>
    <row r="86" ht="20.25">
      <c r="M86" s="267">
        <v>29950</v>
      </c>
    </row>
    <row r="87" ht="20.25">
      <c r="M87" s="267">
        <v>30750</v>
      </c>
    </row>
    <row r="88" ht="20.25">
      <c r="M88" s="267">
        <v>31550</v>
      </c>
    </row>
    <row r="89" ht="20.25">
      <c r="M89" s="267">
        <v>32350</v>
      </c>
    </row>
    <row r="90" ht="20.25">
      <c r="M90" s="267">
        <v>33200</v>
      </c>
    </row>
    <row r="91" ht="20.25">
      <c r="M91" s="267">
        <v>34050</v>
      </c>
    </row>
    <row r="92" ht="20.25">
      <c r="M92" s="267">
        <v>34900</v>
      </c>
    </row>
    <row r="93" ht="20.25">
      <c r="M93" s="267">
        <v>35800</v>
      </c>
    </row>
    <row r="94" ht="20.25">
      <c r="M94" s="267">
        <v>36700</v>
      </c>
    </row>
    <row r="95" ht="20.25">
      <c r="M95" s="267">
        <v>37600</v>
      </c>
    </row>
    <row r="96" ht="20.25">
      <c r="M96" s="267">
        <v>38570</v>
      </c>
    </row>
    <row r="97" ht="20.25">
      <c r="M97" s="267">
        <v>39540</v>
      </c>
    </row>
    <row r="98" ht="20.25">
      <c r="M98" s="267">
        <v>40510</v>
      </c>
    </row>
    <row r="99" ht="20.25">
      <c r="M99" s="267">
        <v>41550</v>
      </c>
    </row>
    <row r="100" ht="20.25">
      <c r="M100" s="267">
        <v>42590</v>
      </c>
    </row>
    <row r="101" ht="20.25">
      <c r="M101" s="267">
        <v>43630</v>
      </c>
    </row>
    <row r="102" ht="20.25">
      <c r="M102" s="267">
        <v>44740</v>
      </c>
    </row>
    <row r="103" ht="20.25">
      <c r="M103" s="267">
        <v>45850</v>
      </c>
    </row>
    <row r="104" ht="20.25">
      <c r="M104" s="267">
        <v>46960</v>
      </c>
    </row>
    <row r="105" ht="20.25">
      <c r="M105" s="267">
        <v>48160</v>
      </c>
    </row>
    <row r="106" ht="20.25">
      <c r="M106" s="267">
        <v>49360</v>
      </c>
    </row>
    <row r="107" ht="20.25">
      <c r="M107" s="267">
        <v>50560</v>
      </c>
    </row>
    <row r="108" ht="20.25">
      <c r="M108" s="267">
        <v>51760</v>
      </c>
    </row>
    <row r="109" ht="20.25">
      <c r="M109" s="267">
        <v>53060</v>
      </c>
    </row>
    <row r="110" ht="20.25">
      <c r="M110" s="267">
        <v>54360</v>
      </c>
    </row>
    <row r="111" ht="20.25">
      <c r="M111" s="268">
        <v>55660</v>
      </c>
    </row>
  </sheetData>
  <sheetProtection selectLockedCells="1"/>
  <mergeCells count="57">
    <mergeCell ref="B35:D35"/>
    <mergeCell ref="B38:D38"/>
    <mergeCell ref="B31:E31"/>
    <mergeCell ref="B50:D50"/>
    <mergeCell ref="B40:D40"/>
    <mergeCell ref="B49:D49"/>
    <mergeCell ref="B41:D41"/>
    <mergeCell ref="B42:D42"/>
    <mergeCell ref="B43:D43"/>
    <mergeCell ref="B33:D33"/>
    <mergeCell ref="B44:D44"/>
    <mergeCell ref="D19:E19"/>
    <mergeCell ref="D21:E22"/>
    <mergeCell ref="B51:D51"/>
    <mergeCell ref="B45:D45"/>
    <mergeCell ref="B46:D46"/>
    <mergeCell ref="B47:D47"/>
    <mergeCell ref="B48:D48"/>
    <mergeCell ref="B34:D34"/>
    <mergeCell ref="B36:D36"/>
    <mergeCell ref="B37:D37"/>
    <mergeCell ref="B4:C4"/>
    <mergeCell ref="B6:C6"/>
    <mergeCell ref="D10:E10"/>
    <mergeCell ref="D8:E8"/>
    <mergeCell ref="B39:D39"/>
    <mergeCell ref="B19:C19"/>
    <mergeCell ref="B7:C7"/>
    <mergeCell ref="B12:C12"/>
    <mergeCell ref="B13:C13"/>
    <mergeCell ref="B32:D32"/>
    <mergeCell ref="F8:G8"/>
    <mergeCell ref="B10:C10"/>
    <mergeCell ref="D26:E26"/>
    <mergeCell ref="B11:C11"/>
    <mergeCell ref="B3:C3"/>
    <mergeCell ref="D17:E17"/>
    <mergeCell ref="F9:G15"/>
    <mergeCell ref="B16:C16"/>
    <mergeCell ref="B17:C17"/>
    <mergeCell ref="B14:C14"/>
    <mergeCell ref="F16:G16"/>
    <mergeCell ref="D11:E11"/>
    <mergeCell ref="D18:E18"/>
    <mergeCell ref="B18:C18"/>
    <mergeCell ref="D12:E12"/>
    <mergeCell ref="B15:C15"/>
    <mergeCell ref="C8:C9"/>
    <mergeCell ref="D9:E9"/>
    <mergeCell ref="B5:C5"/>
    <mergeCell ref="F28:G30"/>
    <mergeCell ref="F31:G31"/>
    <mergeCell ref="A1:E2"/>
    <mergeCell ref="D3:E3"/>
    <mergeCell ref="D16:E16"/>
    <mergeCell ref="D5:E5"/>
    <mergeCell ref="D6:E6"/>
  </mergeCells>
  <dataValidations count="9">
    <dataValidation type="list" allowBlank="1" showInputMessage="1" showErrorMessage="1" sqref="E27 C22">
      <formula1>$Z$20:$Z$21</formula1>
    </dataValidation>
    <dataValidation type="list" allowBlank="1" showInputMessage="1" showErrorMessage="1" sqref="P26">
      <formula1>$P$20:$P$24</formula1>
    </dataValidation>
    <dataValidation type="list" allowBlank="1" showInputMessage="1" showErrorMessage="1" sqref="D17:E17">
      <formula1>$I$10:$I$12</formula1>
    </dataValidation>
    <dataValidation type="list" allowBlank="1" showInputMessage="1" showErrorMessage="1" sqref="D16:E16 D18:E18">
      <formula1>$X$13:$X$14</formula1>
    </dataValidation>
    <dataValidation type="list" allowBlank="1" showInputMessage="1" showErrorMessage="1" sqref="D19:E19 D11:E11">
      <formula1>$N$2:$N$13</formula1>
    </dataValidation>
    <dataValidation type="list" allowBlank="1" showInputMessage="1" showErrorMessage="1" sqref="C23">
      <formula1>$O$23:$O$26</formula1>
    </dataValidation>
    <dataValidation type="list" allowBlank="1" showInputMessage="1" showErrorMessage="1" sqref="G17">
      <formula1>$O$2:$O$14</formula1>
    </dataValidation>
    <dataValidation type="list" allowBlank="1" showInputMessage="1" showErrorMessage="1" sqref="G19">
      <formula1>$N$23:$N$24</formula1>
    </dataValidation>
    <dataValidation type="list" allowBlank="1" showInputMessage="1" showErrorMessage="1" sqref="D8:E10 D12:E12">
      <formula1>$M$32:$M$111</formula1>
    </dataValidation>
  </dataValidations>
  <printOptions horizontalCentered="1"/>
  <pageMargins left="0.75" right="0.75" top="1" bottom="1" header="0.5" footer="0.5"/>
  <pageSetup fitToHeight="1" fitToWidth="1" horizontalDpi="300" verticalDpi="300" orientation="portrait" paperSize="5" scale="70" r:id="rId4"/>
  <drawing r:id="rId3"/>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A41"/>
  <sheetViews>
    <sheetView showZeros="0" zoomScalePageLayoutView="0" workbookViewId="0" topLeftCell="A13">
      <selection activeCell="H20" sqref="H20"/>
    </sheetView>
  </sheetViews>
  <sheetFormatPr defaultColWidth="9.140625" defaultRowHeight="12.75"/>
  <cols>
    <col min="1" max="1" width="6.57421875" style="0" customWidth="1"/>
    <col min="2" max="2" width="13.7109375" style="0" customWidth="1"/>
    <col min="3" max="9" width="8.8515625" style="1" customWidth="1"/>
    <col min="10" max="16" width="10.140625" style="1" customWidth="1"/>
    <col min="17" max="17" width="10.140625" style="1" hidden="1" customWidth="1"/>
    <col min="18" max="21" width="10.140625" style="1" customWidth="1"/>
    <col min="24" max="26" width="9.140625" style="0" customWidth="1"/>
    <col min="27" max="27" width="9.140625" style="0" hidden="1" customWidth="1"/>
  </cols>
  <sheetData>
    <row r="1" spans="1:21" ht="27" customHeight="1">
      <c r="A1" s="347" t="str">
        <f>CONCATENATE("STATEMENT SHOWING SALARY PARTICULARS OF  ","  ",Data!D3,"  "," FOR THE YEAR MARCH 2013-FEBRUARY 2014"," :: ","PAN NO",": ",Data!D4)</f>
        <v>STATEMENT SHOWING SALARY PARTICULARS OF    KUMAR BABU KUCHIPUDI   FOR THE YEAR MARCH 2013-FEBRUARY 2014 :: PAN NO: VXYZA1234A</v>
      </c>
      <c r="B1" s="347"/>
      <c r="C1" s="347"/>
      <c r="D1" s="347"/>
      <c r="E1" s="347"/>
      <c r="F1" s="347"/>
      <c r="G1" s="347"/>
      <c r="H1" s="347"/>
      <c r="I1" s="347"/>
      <c r="J1" s="347"/>
      <c r="K1" s="347"/>
      <c r="L1" s="347"/>
      <c r="M1" s="347"/>
      <c r="N1" s="347"/>
      <c r="O1" s="347"/>
      <c r="P1" s="347"/>
      <c r="Q1" s="347"/>
      <c r="R1" s="347"/>
      <c r="S1" s="347"/>
      <c r="T1" s="347"/>
      <c r="U1" s="347"/>
    </row>
    <row r="2" spans="1:21" s="9" customFormat="1" ht="27.75" customHeight="1">
      <c r="A2" s="349" t="s">
        <v>0</v>
      </c>
      <c r="B2" s="349" t="s">
        <v>333</v>
      </c>
      <c r="C2" s="348" t="s">
        <v>63</v>
      </c>
      <c r="D2" s="348"/>
      <c r="E2" s="348"/>
      <c r="F2" s="348"/>
      <c r="G2" s="348"/>
      <c r="H2" s="348"/>
      <c r="I2" s="348"/>
      <c r="J2" s="348"/>
      <c r="K2" s="348"/>
      <c r="L2" s="348"/>
      <c r="M2" s="348" t="s">
        <v>9</v>
      </c>
      <c r="N2" s="348"/>
      <c r="O2" s="348"/>
      <c r="P2" s="348"/>
      <c r="Q2" s="348"/>
      <c r="R2" s="348"/>
      <c r="S2" s="348"/>
      <c r="T2" s="348"/>
      <c r="U2" s="348"/>
    </row>
    <row r="3" spans="1:21" s="10" customFormat="1" ht="30">
      <c r="A3" s="349"/>
      <c r="B3" s="349"/>
      <c r="C3" s="8" t="s">
        <v>1</v>
      </c>
      <c r="D3" s="8" t="s">
        <v>420</v>
      </c>
      <c r="E3" s="8" t="s">
        <v>62</v>
      </c>
      <c r="F3" s="8" t="s">
        <v>82</v>
      </c>
      <c r="G3" s="8" t="s">
        <v>2</v>
      </c>
      <c r="H3" s="8" t="s">
        <v>348</v>
      </c>
      <c r="I3" s="8" t="s">
        <v>402</v>
      </c>
      <c r="J3" s="8" t="s">
        <v>3</v>
      </c>
      <c r="K3" s="8" t="s">
        <v>4</v>
      </c>
      <c r="L3" s="8" t="s">
        <v>5</v>
      </c>
      <c r="M3" s="8" t="s">
        <v>89</v>
      </c>
      <c r="N3" s="8" t="s">
        <v>71</v>
      </c>
      <c r="O3" s="8" t="s">
        <v>6</v>
      </c>
      <c r="P3" s="8" t="s">
        <v>7</v>
      </c>
      <c r="Q3" s="8" t="s">
        <v>8</v>
      </c>
      <c r="R3" s="8" t="s">
        <v>8</v>
      </c>
      <c r="S3" s="8" t="s">
        <v>72</v>
      </c>
      <c r="T3" s="8" t="s">
        <v>88</v>
      </c>
      <c r="U3" s="8" t="s">
        <v>67</v>
      </c>
    </row>
    <row r="4" spans="1:27" s="12" customFormat="1" ht="24" customHeight="1">
      <c r="A4" s="11">
        <v>1</v>
      </c>
      <c r="B4" s="36" t="s">
        <v>353</v>
      </c>
      <c r="C4" s="11">
        <f>Data!D10</f>
        <v>17540</v>
      </c>
      <c r="D4" s="11">
        <f>Data!D13</f>
        <v>35</v>
      </c>
      <c r="E4" s="11">
        <f>Data!D14</f>
        <v>45</v>
      </c>
      <c r="F4" s="11">
        <f>Data!G17</f>
        <v>0</v>
      </c>
      <c r="G4" s="11">
        <f>Data!D15</f>
        <v>0</v>
      </c>
      <c r="H4" s="11"/>
      <c r="I4" s="11"/>
      <c r="J4" s="11">
        <f>ROUND(C4*47.936%,0)</f>
        <v>8408</v>
      </c>
      <c r="K4" s="11">
        <f>ROUND(C4*Data!D17%,0)</f>
        <v>2105</v>
      </c>
      <c r="L4" s="11">
        <f aca="true" t="shared" si="0" ref="L4:L15">SUM(C4:K4)</f>
        <v>28133</v>
      </c>
      <c r="M4" s="11">
        <f>IF(Data!C22=1,Data!C21,0)</f>
        <v>2000</v>
      </c>
      <c r="N4" s="11">
        <f>IF(Data!C22=2,AA4,0)</f>
        <v>0</v>
      </c>
      <c r="O4" s="11">
        <f>Data!C23</f>
        <v>60</v>
      </c>
      <c r="P4" s="11">
        <f>Data!C24</f>
        <v>600</v>
      </c>
      <c r="Q4" s="11" t="str">
        <f>IF(L4&gt;=20000,"200",IF(L4&gt;=15000,"150",IF(L4&gt;=10000,"100","80")))</f>
        <v>200</v>
      </c>
      <c r="R4" s="11" t="str">
        <f>IF(Data!D16=0,STATEMENT!Q4,0)</f>
        <v>200</v>
      </c>
      <c r="S4" s="11">
        <v>20</v>
      </c>
      <c r="T4" s="11">
        <f>Data!G32</f>
        <v>0</v>
      </c>
      <c r="U4" s="11"/>
      <c r="AA4" s="10">
        <f>ROUND((C4+J4)/10,0)</f>
        <v>2595</v>
      </c>
    </row>
    <row r="5" spans="1:27" s="12" customFormat="1" ht="24" customHeight="1">
      <c r="A5" s="11">
        <v>2</v>
      </c>
      <c r="B5" s="36" t="s">
        <v>354</v>
      </c>
      <c r="C5" s="11">
        <f>IF(Data!D11=4,Data!D12,C4)</f>
        <v>17540</v>
      </c>
      <c r="D5" s="11">
        <f aca="true" t="shared" si="1" ref="D5:D15">D4</f>
        <v>35</v>
      </c>
      <c r="E5" s="11">
        <f aca="true" t="shared" si="2" ref="E5:E15">E4</f>
        <v>45</v>
      </c>
      <c r="F5" s="11">
        <f>F4</f>
        <v>0</v>
      </c>
      <c r="G5" s="11">
        <f>G4</f>
        <v>0</v>
      </c>
      <c r="H5" s="11"/>
      <c r="I5" s="11"/>
      <c r="J5" s="11">
        <f>ROUND(C5*47.936%,0)</f>
        <v>8408</v>
      </c>
      <c r="K5" s="11">
        <f>ROUND(C5*Data!D17%,0)</f>
        <v>2105</v>
      </c>
      <c r="L5" s="11">
        <f t="shared" si="0"/>
        <v>28133</v>
      </c>
      <c r="M5" s="11">
        <f>M4</f>
        <v>2000</v>
      </c>
      <c r="N5" s="11">
        <f>IF(Data!C22=2,AA5,0)</f>
        <v>0</v>
      </c>
      <c r="O5" s="11">
        <f>O4</f>
        <v>60</v>
      </c>
      <c r="P5" s="11">
        <f>P4</f>
        <v>600</v>
      </c>
      <c r="Q5" s="11" t="str">
        <f aca="true" t="shared" si="3" ref="Q5:Q17">IF(L5&gt;=20000,"200",IF(L5&gt;=15000,"150",IF(L5&gt;=10000,"100","80")))</f>
        <v>200</v>
      </c>
      <c r="R5" s="11" t="str">
        <f>IF(Data!D16=0,STATEMENT!Q5,0)</f>
        <v>200</v>
      </c>
      <c r="S5" s="11"/>
      <c r="T5" s="11">
        <f>Data!G33</f>
        <v>0</v>
      </c>
      <c r="U5" s="11"/>
      <c r="AA5" s="10">
        <f aca="true" t="shared" si="4" ref="AA5:AA15">ROUND((C5+J5)/10,0)</f>
        <v>2595</v>
      </c>
    </row>
    <row r="6" spans="1:27" s="12" customFormat="1" ht="24" customHeight="1">
      <c r="A6" s="11">
        <v>3</v>
      </c>
      <c r="B6" s="36" t="s">
        <v>355</v>
      </c>
      <c r="C6" s="11">
        <f>IF(Data!D11=5,Data!D12,C5)</f>
        <v>17540</v>
      </c>
      <c r="D6" s="11">
        <f t="shared" si="1"/>
        <v>35</v>
      </c>
      <c r="E6" s="11">
        <f t="shared" si="2"/>
        <v>45</v>
      </c>
      <c r="F6" s="11">
        <f aca="true" t="shared" si="5" ref="F6:F15">F5</f>
        <v>0</v>
      </c>
      <c r="G6" s="11">
        <f aca="true" t="shared" si="6" ref="G6:G15">G5</f>
        <v>0</v>
      </c>
      <c r="H6" s="11"/>
      <c r="I6" s="11"/>
      <c r="J6" s="11">
        <f>ROUND(C6*Data!E23%,0)</f>
        <v>9609</v>
      </c>
      <c r="K6" s="11">
        <f>ROUND(C6*Data!D17%,0)</f>
        <v>2105</v>
      </c>
      <c r="L6" s="11">
        <f t="shared" si="0"/>
        <v>29334</v>
      </c>
      <c r="M6" s="11">
        <f aca="true" t="shared" si="7" ref="M6:M15">M5</f>
        <v>2000</v>
      </c>
      <c r="N6" s="11">
        <f>IF(Data!C22=2,AA6,0)</f>
        <v>0</v>
      </c>
      <c r="O6" s="11">
        <f aca="true" t="shared" si="8" ref="O6:P15">O5</f>
        <v>60</v>
      </c>
      <c r="P6" s="11">
        <f t="shared" si="8"/>
        <v>600</v>
      </c>
      <c r="Q6" s="11" t="str">
        <f t="shared" si="3"/>
        <v>200</v>
      </c>
      <c r="R6" s="11" t="str">
        <f>IF(Data!D16=0,STATEMENT!Q6,0)</f>
        <v>200</v>
      </c>
      <c r="S6" s="11"/>
      <c r="T6" s="11">
        <f>Data!G34</f>
        <v>0</v>
      </c>
      <c r="U6" s="11"/>
      <c r="AA6" s="10">
        <f t="shared" si="4"/>
        <v>2715</v>
      </c>
    </row>
    <row r="7" spans="1:27" s="12" customFormat="1" ht="24" customHeight="1">
      <c r="A7" s="11">
        <v>4</v>
      </c>
      <c r="B7" s="36" t="s">
        <v>356</v>
      </c>
      <c r="C7" s="11">
        <f>IF(Data!D11=6,Data!D12,C6)</f>
        <v>17540</v>
      </c>
      <c r="D7" s="11">
        <f t="shared" si="1"/>
        <v>35</v>
      </c>
      <c r="E7" s="11">
        <f t="shared" si="2"/>
        <v>45</v>
      </c>
      <c r="F7" s="11">
        <f t="shared" si="5"/>
        <v>0</v>
      </c>
      <c r="G7" s="11">
        <f t="shared" si="6"/>
        <v>0</v>
      </c>
      <c r="H7" s="11"/>
      <c r="I7" s="11"/>
      <c r="J7" s="11">
        <f>ROUND(C7*Data!E23%,0)</f>
        <v>9609</v>
      </c>
      <c r="K7" s="11">
        <f>ROUND(C7*Data!D17%,0)</f>
        <v>2105</v>
      </c>
      <c r="L7" s="11">
        <f t="shared" si="0"/>
        <v>29334</v>
      </c>
      <c r="M7" s="11">
        <f t="shared" si="7"/>
        <v>2000</v>
      </c>
      <c r="N7" s="11">
        <f>IF(Data!C22=2,AA7,0)</f>
        <v>0</v>
      </c>
      <c r="O7" s="11">
        <f t="shared" si="8"/>
        <v>60</v>
      </c>
      <c r="P7" s="11">
        <f t="shared" si="8"/>
        <v>600</v>
      </c>
      <c r="Q7" s="11" t="str">
        <f t="shared" si="3"/>
        <v>200</v>
      </c>
      <c r="R7" s="11" t="str">
        <f>IF(Data!D16=0,STATEMENT!Q7,0)</f>
        <v>200</v>
      </c>
      <c r="S7" s="11"/>
      <c r="T7" s="11">
        <f>Data!G35</f>
        <v>0</v>
      </c>
      <c r="U7" s="11"/>
      <c r="AA7" s="10">
        <f t="shared" si="4"/>
        <v>2715</v>
      </c>
    </row>
    <row r="8" spans="1:27" s="12" customFormat="1" ht="24" customHeight="1">
      <c r="A8" s="11">
        <v>5</v>
      </c>
      <c r="B8" s="36" t="s">
        <v>357</v>
      </c>
      <c r="C8" s="11">
        <f>IF(Data!D11=7,Data!D12,C7)</f>
        <v>17540</v>
      </c>
      <c r="D8" s="11">
        <f t="shared" si="1"/>
        <v>35</v>
      </c>
      <c r="E8" s="11">
        <f t="shared" si="2"/>
        <v>45</v>
      </c>
      <c r="F8" s="11">
        <f t="shared" si="5"/>
        <v>0</v>
      </c>
      <c r="G8" s="11">
        <f t="shared" si="6"/>
        <v>0</v>
      </c>
      <c r="H8" s="11"/>
      <c r="I8" s="11"/>
      <c r="J8" s="11">
        <f>ROUND(C8*Data!E23%,0)</f>
        <v>9609</v>
      </c>
      <c r="K8" s="11">
        <f>ROUND(C8*Data!D17%,0)</f>
        <v>2105</v>
      </c>
      <c r="L8" s="11">
        <f t="shared" si="0"/>
        <v>29334</v>
      </c>
      <c r="M8" s="11">
        <f t="shared" si="7"/>
        <v>2000</v>
      </c>
      <c r="N8" s="11">
        <f>IF(Data!C22=2,AA8,0)</f>
        <v>0</v>
      </c>
      <c r="O8" s="11">
        <f t="shared" si="8"/>
        <v>60</v>
      </c>
      <c r="P8" s="11">
        <f t="shared" si="8"/>
        <v>600</v>
      </c>
      <c r="Q8" s="11" t="str">
        <f t="shared" si="3"/>
        <v>200</v>
      </c>
      <c r="R8" s="11" t="str">
        <f>IF(Data!D16=0,STATEMENT!Q8,0)</f>
        <v>200</v>
      </c>
      <c r="S8" s="11"/>
      <c r="T8" s="11">
        <f>Data!G36</f>
        <v>0</v>
      </c>
      <c r="U8" s="11">
        <f>ROUND(C8/62,0)</f>
        <v>283</v>
      </c>
      <c r="AA8" s="10">
        <f t="shared" si="4"/>
        <v>2715</v>
      </c>
    </row>
    <row r="9" spans="1:27" s="12" customFormat="1" ht="24" customHeight="1">
      <c r="A9" s="11">
        <v>6</v>
      </c>
      <c r="B9" s="36" t="s">
        <v>358</v>
      </c>
      <c r="C9" s="11">
        <f>IF(Data!D11=8,Data!D12,C8)</f>
        <v>17540</v>
      </c>
      <c r="D9" s="11">
        <f t="shared" si="1"/>
        <v>35</v>
      </c>
      <c r="E9" s="11">
        <f t="shared" si="2"/>
        <v>45</v>
      </c>
      <c r="F9" s="11">
        <f t="shared" si="5"/>
        <v>0</v>
      </c>
      <c r="G9" s="11">
        <f t="shared" si="6"/>
        <v>0</v>
      </c>
      <c r="H9" s="11"/>
      <c r="I9" s="11"/>
      <c r="J9" s="11">
        <f>ROUND(C9*Data!E23%,0)</f>
        <v>9609</v>
      </c>
      <c r="K9" s="11">
        <f>ROUND(C9*Data!D17%,0)</f>
        <v>2105</v>
      </c>
      <c r="L9" s="11">
        <f t="shared" si="0"/>
        <v>29334</v>
      </c>
      <c r="M9" s="11">
        <f>M8</f>
        <v>2000</v>
      </c>
      <c r="N9" s="11">
        <f>IF(Data!C22=2,AA9,0)</f>
        <v>0</v>
      </c>
      <c r="O9" s="11">
        <f t="shared" si="8"/>
        <v>60</v>
      </c>
      <c r="P9" s="11">
        <f t="shared" si="8"/>
        <v>600</v>
      </c>
      <c r="Q9" s="11" t="str">
        <f t="shared" si="3"/>
        <v>200</v>
      </c>
      <c r="R9" s="11" t="str">
        <f>IF(Data!D16=0,STATEMENT!Q9,0)</f>
        <v>200</v>
      </c>
      <c r="S9" s="11"/>
      <c r="T9" s="11">
        <f>Data!G37</f>
        <v>0</v>
      </c>
      <c r="U9" s="11"/>
      <c r="AA9" s="10">
        <f t="shared" si="4"/>
        <v>2715</v>
      </c>
    </row>
    <row r="10" spans="1:27" s="12" customFormat="1" ht="24" customHeight="1">
      <c r="A10" s="11">
        <v>7</v>
      </c>
      <c r="B10" s="36" t="s">
        <v>359</v>
      </c>
      <c r="C10" s="11">
        <f>IF(Data!D11=9,Data!D12,C9)</f>
        <v>17540</v>
      </c>
      <c r="D10" s="11">
        <f t="shared" si="1"/>
        <v>35</v>
      </c>
      <c r="E10" s="11">
        <f t="shared" si="2"/>
        <v>45</v>
      </c>
      <c r="F10" s="11">
        <f t="shared" si="5"/>
        <v>0</v>
      </c>
      <c r="G10" s="11">
        <f t="shared" si="6"/>
        <v>0</v>
      </c>
      <c r="H10" s="11"/>
      <c r="I10" s="11"/>
      <c r="J10" s="11">
        <f>ROUND(C10*Data!E23%,0)</f>
        <v>9609</v>
      </c>
      <c r="K10" s="11">
        <f>ROUND(C10*Data!D17%,0)</f>
        <v>2105</v>
      </c>
      <c r="L10" s="11">
        <f t="shared" si="0"/>
        <v>29334</v>
      </c>
      <c r="M10" s="11">
        <f>M9</f>
        <v>2000</v>
      </c>
      <c r="N10" s="11">
        <f>IF(Data!C22=2,AA10,0)</f>
        <v>0</v>
      </c>
      <c r="O10" s="11">
        <f t="shared" si="8"/>
        <v>60</v>
      </c>
      <c r="P10" s="11">
        <f t="shared" si="8"/>
        <v>600</v>
      </c>
      <c r="Q10" s="11" t="str">
        <f t="shared" si="3"/>
        <v>200</v>
      </c>
      <c r="R10" s="11" t="str">
        <f>IF(Data!D16=0,STATEMENT!Q10,0)</f>
        <v>200</v>
      </c>
      <c r="S10" s="11"/>
      <c r="T10" s="11">
        <f>Data!G38</f>
        <v>0</v>
      </c>
      <c r="U10" s="11"/>
      <c r="AA10" s="10">
        <f t="shared" si="4"/>
        <v>2715</v>
      </c>
    </row>
    <row r="11" spans="1:27" s="12" customFormat="1" ht="24" customHeight="1">
      <c r="A11" s="11">
        <v>8</v>
      </c>
      <c r="B11" s="36" t="s">
        <v>360</v>
      </c>
      <c r="C11" s="11">
        <f>IF(Data!D11=10,Data!D12,C10)</f>
        <v>17540</v>
      </c>
      <c r="D11" s="11">
        <f t="shared" si="1"/>
        <v>35</v>
      </c>
      <c r="E11" s="11">
        <f t="shared" si="2"/>
        <v>45</v>
      </c>
      <c r="F11" s="11">
        <f t="shared" si="5"/>
        <v>0</v>
      </c>
      <c r="G11" s="11">
        <f t="shared" si="6"/>
        <v>0</v>
      </c>
      <c r="H11" s="11"/>
      <c r="I11" s="11"/>
      <c r="J11" s="11">
        <f>ROUND(C11*Data!E24%,0)</f>
        <v>11111</v>
      </c>
      <c r="K11" s="11">
        <f>ROUND(C11*Data!D17%,0)</f>
        <v>2105</v>
      </c>
      <c r="L11" s="11">
        <f t="shared" si="0"/>
        <v>30836</v>
      </c>
      <c r="M11" s="11">
        <f>M10</f>
        <v>2000</v>
      </c>
      <c r="N11" s="11">
        <f>IF(Data!C22=2,AA11,0)</f>
        <v>0</v>
      </c>
      <c r="O11" s="11">
        <f t="shared" si="8"/>
        <v>60</v>
      </c>
      <c r="P11" s="11">
        <f t="shared" si="8"/>
        <v>600</v>
      </c>
      <c r="Q11" s="11" t="str">
        <f t="shared" si="3"/>
        <v>200</v>
      </c>
      <c r="R11" s="11" t="str">
        <f>IF(Data!D16=0,STATEMENT!Q11,0)</f>
        <v>200</v>
      </c>
      <c r="S11" s="11"/>
      <c r="T11" s="11">
        <f>Data!G39</f>
        <v>0</v>
      </c>
      <c r="U11" s="11"/>
      <c r="AA11" s="10">
        <f t="shared" si="4"/>
        <v>2865</v>
      </c>
    </row>
    <row r="12" spans="1:27" s="12" customFormat="1" ht="24" customHeight="1">
      <c r="A12" s="11">
        <v>9</v>
      </c>
      <c r="B12" s="36" t="s">
        <v>361</v>
      </c>
      <c r="C12" s="11">
        <f>IF(Data!D11=11,Data!D12,C11)</f>
        <v>17540</v>
      </c>
      <c r="D12" s="11">
        <f t="shared" si="1"/>
        <v>35</v>
      </c>
      <c r="E12" s="11">
        <f t="shared" si="2"/>
        <v>45</v>
      </c>
      <c r="F12" s="11">
        <f t="shared" si="5"/>
        <v>0</v>
      </c>
      <c r="G12" s="11">
        <f t="shared" si="6"/>
        <v>0</v>
      </c>
      <c r="H12" s="11"/>
      <c r="I12" s="11"/>
      <c r="J12" s="11">
        <f>ROUND(C12*Data!E24%,0)</f>
        <v>11111</v>
      </c>
      <c r="K12" s="11">
        <f>ROUND(C12*Data!D17%,0)</f>
        <v>2105</v>
      </c>
      <c r="L12" s="11">
        <f t="shared" si="0"/>
        <v>30836</v>
      </c>
      <c r="M12" s="11">
        <f t="shared" si="7"/>
        <v>2000</v>
      </c>
      <c r="N12" s="11">
        <f>IF(Data!C22=2,AA12,0)</f>
        <v>0</v>
      </c>
      <c r="O12" s="11">
        <f t="shared" si="8"/>
        <v>60</v>
      </c>
      <c r="P12" s="11">
        <f t="shared" si="8"/>
        <v>600</v>
      </c>
      <c r="Q12" s="11" t="str">
        <f t="shared" si="3"/>
        <v>200</v>
      </c>
      <c r="R12" s="11" t="str">
        <f>IF(Data!D16=0,STATEMENT!Q12,0)</f>
        <v>200</v>
      </c>
      <c r="S12" s="11"/>
      <c r="T12" s="11">
        <f>Data!G40</f>
        <v>0</v>
      </c>
      <c r="U12" s="11"/>
      <c r="AA12" s="10">
        <f t="shared" si="4"/>
        <v>2865</v>
      </c>
    </row>
    <row r="13" spans="1:27" s="12" customFormat="1" ht="24" customHeight="1">
      <c r="A13" s="11">
        <v>10</v>
      </c>
      <c r="B13" s="36" t="s">
        <v>362</v>
      </c>
      <c r="C13" s="11">
        <f>IF(Data!D11=12,Data!D12,C12)</f>
        <v>17540</v>
      </c>
      <c r="D13" s="11">
        <f t="shared" si="1"/>
        <v>35</v>
      </c>
      <c r="E13" s="11">
        <f t="shared" si="2"/>
        <v>45</v>
      </c>
      <c r="F13" s="11">
        <f t="shared" si="5"/>
        <v>0</v>
      </c>
      <c r="G13" s="11">
        <f t="shared" si="6"/>
        <v>0</v>
      </c>
      <c r="H13" s="11"/>
      <c r="I13" s="11"/>
      <c r="J13" s="11">
        <f>ROUND(C13*Data!E24%,0)</f>
        <v>11111</v>
      </c>
      <c r="K13" s="11">
        <f>ROUND(C13*Data!D17%,0)</f>
        <v>2105</v>
      </c>
      <c r="L13" s="11">
        <f t="shared" si="0"/>
        <v>30836</v>
      </c>
      <c r="M13" s="11">
        <f t="shared" si="7"/>
        <v>2000</v>
      </c>
      <c r="N13" s="11">
        <f>IF(Data!C22=2,AA13,0)</f>
        <v>0</v>
      </c>
      <c r="O13" s="11">
        <f t="shared" si="8"/>
        <v>60</v>
      </c>
      <c r="P13" s="11">
        <f t="shared" si="8"/>
        <v>600</v>
      </c>
      <c r="Q13" s="11" t="str">
        <f t="shared" si="3"/>
        <v>200</v>
      </c>
      <c r="R13" s="11" t="str">
        <f>IF(Data!D16=0,STATEMENT!Q13,0)</f>
        <v>200</v>
      </c>
      <c r="S13" s="11">
        <v>20</v>
      </c>
      <c r="T13" s="11">
        <f>Data!G41</f>
        <v>0</v>
      </c>
      <c r="U13" s="11"/>
      <c r="AA13" s="10">
        <f t="shared" si="4"/>
        <v>2865</v>
      </c>
    </row>
    <row r="14" spans="1:27" s="12" customFormat="1" ht="24" customHeight="1">
      <c r="A14" s="11">
        <v>11</v>
      </c>
      <c r="B14" s="36" t="s">
        <v>363</v>
      </c>
      <c r="C14" s="11">
        <f>IF(Data!D11=1,Data!D12,C13)</f>
        <v>18030</v>
      </c>
      <c r="D14" s="11">
        <f t="shared" si="1"/>
        <v>35</v>
      </c>
      <c r="E14" s="11">
        <f t="shared" si="2"/>
        <v>45</v>
      </c>
      <c r="F14" s="11">
        <f t="shared" si="5"/>
        <v>0</v>
      </c>
      <c r="G14" s="11">
        <f t="shared" si="6"/>
        <v>0</v>
      </c>
      <c r="H14" s="11">
        <f>ROUND(C14*'[3]Data'!E25%,0)</f>
        <v>4868</v>
      </c>
      <c r="I14" s="11"/>
      <c r="J14" s="11">
        <f>ROUND(C14*Data!E24%,0)</f>
        <v>11421</v>
      </c>
      <c r="K14" s="11">
        <f>ROUND(C14*Data!D17%,0)</f>
        <v>2164</v>
      </c>
      <c r="L14" s="11">
        <f t="shared" si="0"/>
        <v>36563</v>
      </c>
      <c r="M14" s="11">
        <f t="shared" si="7"/>
        <v>2000</v>
      </c>
      <c r="N14" s="11">
        <f>IF(Data!C22=2,AA14,0)</f>
        <v>0</v>
      </c>
      <c r="O14" s="11">
        <f t="shared" si="8"/>
        <v>60</v>
      </c>
      <c r="P14" s="11">
        <f t="shared" si="8"/>
        <v>600</v>
      </c>
      <c r="Q14" s="11" t="str">
        <f t="shared" si="3"/>
        <v>200</v>
      </c>
      <c r="R14" s="11" t="str">
        <f>IF(Data!D16=0,STATEMENT!Q14,0)</f>
        <v>200</v>
      </c>
      <c r="S14" s="11"/>
      <c r="T14" s="11">
        <f>Data!G42</f>
        <v>0</v>
      </c>
      <c r="U14" s="11"/>
      <c r="AA14" s="10">
        <f t="shared" si="4"/>
        <v>2945</v>
      </c>
    </row>
    <row r="15" spans="1:27" s="12" customFormat="1" ht="24" customHeight="1">
      <c r="A15" s="11">
        <v>12</v>
      </c>
      <c r="B15" s="36" t="s">
        <v>364</v>
      </c>
      <c r="C15" s="11">
        <f>IF(Data!D11=2,Data!D12,C14)</f>
        <v>18030</v>
      </c>
      <c r="D15" s="11">
        <f t="shared" si="1"/>
        <v>35</v>
      </c>
      <c r="E15" s="11">
        <f t="shared" si="2"/>
        <v>45</v>
      </c>
      <c r="F15" s="11">
        <f t="shared" si="5"/>
        <v>0</v>
      </c>
      <c r="G15" s="11">
        <f t="shared" si="6"/>
        <v>0</v>
      </c>
      <c r="H15" s="11">
        <f>ROUND(C15*'[3]Data'!E25%,0)</f>
        <v>4868</v>
      </c>
      <c r="I15" s="11"/>
      <c r="J15" s="11">
        <f>ROUND(C15*Data!E24%,0)</f>
        <v>11421</v>
      </c>
      <c r="K15" s="11">
        <f>ROUND(C15*Data!D17%,0)</f>
        <v>2164</v>
      </c>
      <c r="L15" s="11">
        <f t="shared" si="0"/>
        <v>36563</v>
      </c>
      <c r="M15" s="11">
        <f t="shared" si="7"/>
        <v>2000</v>
      </c>
      <c r="N15" s="11">
        <f>IF(Data!C22=2,AA15,0)</f>
        <v>0</v>
      </c>
      <c r="O15" s="11">
        <f t="shared" si="8"/>
        <v>60</v>
      </c>
      <c r="P15" s="11">
        <f t="shared" si="8"/>
        <v>600</v>
      </c>
      <c r="Q15" s="11" t="str">
        <f t="shared" si="3"/>
        <v>200</v>
      </c>
      <c r="R15" s="11" t="str">
        <f>IF(Data!D16=0,STATEMENT!Q15,0)</f>
        <v>200</v>
      </c>
      <c r="S15" s="11"/>
      <c r="T15" s="11">
        <f>Data!G43</f>
        <v>0</v>
      </c>
      <c r="U15" s="11"/>
      <c r="AA15" s="10">
        <f t="shared" si="4"/>
        <v>2945</v>
      </c>
    </row>
    <row r="16" spans="1:21" s="12" customFormat="1" ht="39.75" customHeight="1">
      <c r="A16" s="344" t="s">
        <v>74</v>
      </c>
      <c r="B16" s="32" t="s">
        <v>392</v>
      </c>
      <c r="C16" s="11"/>
      <c r="D16" s="11"/>
      <c r="E16" s="11"/>
      <c r="F16" s="11"/>
      <c r="G16" s="11"/>
      <c r="H16" s="11"/>
      <c r="I16" s="11"/>
      <c r="J16" s="11">
        <f>ROUND((Data!D8)*Data!E23%,0)-ROUND((Data!D8)*47.936%,0)+ROUND((Data!D9)*Data!E23%,0)-ROUND((Data!D9)*47.936%,0)+ROUND((C4)*Data!E23%,0)-ROUND((C4)*47.936%,0)+ROUND((C5)*Data!E23%,0)-ROUND((C5)*47.936%,0)</f>
        <v>4804</v>
      </c>
      <c r="K16" s="11"/>
      <c r="L16" s="11">
        <f>J16</f>
        <v>4804</v>
      </c>
      <c r="M16" s="11">
        <f>IF(I32=1,J16,0)</f>
        <v>4804</v>
      </c>
      <c r="N16" s="11">
        <f>IF(Data!C22=2,K32,0)</f>
        <v>0</v>
      </c>
      <c r="O16" s="11"/>
      <c r="P16" s="11"/>
      <c r="Q16" s="11" t="str">
        <f t="shared" si="3"/>
        <v>80</v>
      </c>
      <c r="R16" s="11"/>
      <c r="S16" s="11"/>
      <c r="T16" s="11"/>
      <c r="U16" s="11"/>
    </row>
    <row r="17" spans="1:21" s="12" customFormat="1" ht="42" customHeight="1">
      <c r="A17" s="345"/>
      <c r="B17" s="32" t="s">
        <v>413</v>
      </c>
      <c r="C17" s="11"/>
      <c r="D17" s="11"/>
      <c r="E17" s="11"/>
      <c r="F17" s="11"/>
      <c r="G17" s="11"/>
      <c r="H17" s="11"/>
      <c r="I17" s="11"/>
      <c r="J17" s="11">
        <f>ROUND((C8)*Data!E24%,0)-ROUND((C8)*Data!E23%,0)+ROUND((C9)*Data!E24%,0)-ROUND((C9)*Data!E23%,0)+ROUND((C10)*Data!E24%,0)-ROUND((C10)*Data!E23%,0)</f>
        <v>4506</v>
      </c>
      <c r="K17" s="11"/>
      <c r="L17" s="11">
        <f>J17</f>
        <v>4506</v>
      </c>
      <c r="M17" s="11">
        <f>IF(I33=1,J17,0)</f>
        <v>4506</v>
      </c>
      <c r="N17" s="11">
        <f>IF(Data!C22=2,K33,0)</f>
        <v>0</v>
      </c>
      <c r="O17" s="11"/>
      <c r="P17" s="11"/>
      <c r="Q17" s="11" t="str">
        <f t="shared" si="3"/>
        <v>80</v>
      </c>
      <c r="R17" s="11"/>
      <c r="S17" s="11"/>
      <c r="T17" s="11"/>
      <c r="U17" s="11"/>
    </row>
    <row r="18" spans="1:21" s="9" customFormat="1" ht="36" customHeight="1">
      <c r="A18" s="345"/>
      <c r="B18" s="32" t="s">
        <v>83</v>
      </c>
      <c r="C18" s="11"/>
      <c r="D18" s="14"/>
      <c r="E18" s="14"/>
      <c r="F18" s="14"/>
      <c r="G18" s="14"/>
      <c r="H18" s="14"/>
      <c r="I18" s="14"/>
      <c r="J18" s="11"/>
      <c r="K18" s="11"/>
      <c r="L18" s="11">
        <f>SUM(C18:K18)</f>
        <v>0</v>
      </c>
      <c r="M18" s="14"/>
      <c r="N18" s="11"/>
      <c r="O18" s="14"/>
      <c r="P18" s="14"/>
      <c r="Q18" s="14"/>
      <c r="R18" s="14"/>
      <c r="S18" s="14"/>
      <c r="T18" s="14"/>
      <c r="U18" s="14"/>
    </row>
    <row r="19" spans="1:21" s="9" customFormat="1" ht="26.25" customHeight="1">
      <c r="A19" s="345"/>
      <c r="B19" s="35" t="s">
        <v>339</v>
      </c>
      <c r="C19" s="14"/>
      <c r="D19" s="14"/>
      <c r="E19" s="14"/>
      <c r="F19" s="14"/>
      <c r="G19" s="13"/>
      <c r="H19" s="13"/>
      <c r="I19" s="13"/>
      <c r="J19" s="11"/>
      <c r="K19" s="14"/>
      <c r="L19" s="11">
        <f>SUM(C19:K19)</f>
        <v>0</v>
      </c>
      <c r="M19" s="14"/>
      <c r="N19" s="14"/>
      <c r="O19" s="14"/>
      <c r="P19" s="14"/>
      <c r="Q19" s="14"/>
      <c r="R19" s="14"/>
      <c r="S19" s="14"/>
      <c r="T19" s="14"/>
      <c r="U19" s="14"/>
    </row>
    <row r="20" spans="1:21" s="9" customFormat="1" ht="26.25" customHeight="1">
      <c r="A20" s="346"/>
      <c r="B20" s="35" t="s">
        <v>10</v>
      </c>
      <c r="C20" s="11">
        <f>ROUND(Data!P16,0)</f>
        <v>8770</v>
      </c>
      <c r="D20" s="11">
        <f>Data!M13</f>
        <v>18</v>
      </c>
      <c r="E20" s="11">
        <f>Data!M14</f>
        <v>23</v>
      </c>
      <c r="F20" s="11">
        <f>Data!Q16</f>
        <v>0</v>
      </c>
      <c r="G20" s="11"/>
      <c r="H20" s="11"/>
      <c r="I20" s="11"/>
      <c r="J20" s="11">
        <f>ROUND(C20*Data!N18%,0)</f>
        <v>5555</v>
      </c>
      <c r="K20" s="11">
        <f>ROUND(C20*Data!D17%,0)</f>
        <v>1052</v>
      </c>
      <c r="L20" s="11">
        <f>SUM(C20:K20)</f>
        <v>15418</v>
      </c>
      <c r="M20" s="14"/>
      <c r="N20" s="14"/>
      <c r="O20" s="14"/>
      <c r="P20" s="14"/>
      <c r="Q20" s="14"/>
      <c r="R20" s="14"/>
      <c r="S20" s="14"/>
      <c r="T20" s="14"/>
      <c r="U20" s="14"/>
    </row>
    <row r="21" spans="1:21" s="12" customFormat="1" ht="22.5" customHeight="1">
      <c r="A21" s="187" t="s">
        <v>5</v>
      </c>
      <c r="B21" s="188"/>
      <c r="C21" s="11">
        <f>SUM(C4:C20)</f>
        <v>220230</v>
      </c>
      <c r="D21" s="11">
        <f>SUM(D4:D20)</f>
        <v>438</v>
      </c>
      <c r="E21" s="11">
        <f>SUM(E4:E19)</f>
        <v>540</v>
      </c>
      <c r="F21" s="11">
        <f>SUM(F4:F19)</f>
        <v>0</v>
      </c>
      <c r="G21" s="11">
        <f>SUM(G4:G20)</f>
        <v>0</v>
      </c>
      <c r="H21" s="11">
        <f>SUM(H4:H20)</f>
        <v>9736</v>
      </c>
      <c r="I21" s="11">
        <f>SUM(I4:I20)</f>
        <v>0</v>
      </c>
      <c r="J21" s="11">
        <f>SUM(J4:J20)</f>
        <v>135901</v>
      </c>
      <c r="K21" s="11">
        <f aca="true" t="shared" si="9" ref="K21:P21">SUM(K4:K20)</f>
        <v>26430</v>
      </c>
      <c r="L21" s="11">
        <f t="shared" si="9"/>
        <v>393298</v>
      </c>
      <c r="M21" s="11">
        <f t="shared" si="9"/>
        <v>33310</v>
      </c>
      <c r="N21" s="11">
        <f t="shared" si="9"/>
        <v>0</v>
      </c>
      <c r="O21" s="11">
        <f t="shared" si="9"/>
        <v>720</v>
      </c>
      <c r="P21" s="11">
        <f t="shared" si="9"/>
        <v>7200</v>
      </c>
      <c r="Q21" s="11">
        <f>Q4+Q5+Q6+Q7+Q8+Q9+Q10+Q11+Q12+Q13+Q14+Q15</f>
        <v>2400</v>
      </c>
      <c r="R21" s="11">
        <f>R4+R5+R6+R7+R8+R9+R10+R11+R12+R13+R14+R15</f>
        <v>2400</v>
      </c>
      <c r="S21" s="11">
        <f>SUM(S4:S20)</f>
        <v>40</v>
      </c>
      <c r="T21" s="11">
        <f>SUM(T4:T20)</f>
        <v>0</v>
      </c>
      <c r="U21" s="11">
        <f>SUM(U4:U20)</f>
        <v>283</v>
      </c>
    </row>
    <row r="25" spans="1:19" ht="12.75">
      <c r="A25" s="342" t="s">
        <v>64</v>
      </c>
      <c r="B25" s="343"/>
      <c r="C25" s="343"/>
      <c r="D25" s="343"/>
      <c r="S25" s="34" t="s">
        <v>65</v>
      </c>
    </row>
    <row r="31" ht="12.75" hidden="1">
      <c r="B31">
        <f>Data!C22</f>
        <v>1</v>
      </c>
    </row>
    <row r="32" spans="9:11" ht="15" hidden="1">
      <c r="I32" s="1">
        <f>Data!C22</f>
        <v>1</v>
      </c>
      <c r="J32" s="11">
        <f>ROUND((Data!D8)*Data!E23%,0)-ROUND((Data!D8)*47.936%,0)+ROUND((Data!D9)*Data!E23%,0)-ROUND((Data!D9)*47.936%,0)+ROUND((C4)*Data!E23%,0)-ROUND((C4)*47.936%,0)+ROUND((C5)*Data!E23%,0)-ROUND((C5)*47.936%,0)</f>
        <v>4804</v>
      </c>
      <c r="K32" s="1">
        <f>ROUND(J32*10%,0)</f>
        <v>480</v>
      </c>
    </row>
    <row r="33" spans="9:11" ht="15" hidden="1">
      <c r="I33" s="1">
        <f>Data!C22</f>
        <v>1</v>
      </c>
      <c r="J33" s="11">
        <f>ROUND((C8)*Data!E24%,0)-ROUND((C8)*Data!E23%,0)+ROUND((C9)*Data!E24%,0)-ROUND((C9)*Data!E23%,0)+ROUND((C10)*Data!E24%,0)-ROUND((C10)*Data!E23%,0)</f>
        <v>4506</v>
      </c>
      <c r="K33" s="1">
        <f>ROUND(J33*10%,0)</f>
        <v>451</v>
      </c>
    </row>
    <row r="39" ht="12.75" hidden="1">
      <c r="O39" s="1" t="s">
        <v>68</v>
      </c>
    </row>
    <row r="40" ht="12.75" hidden="1">
      <c r="O40" s="1" t="s">
        <v>69</v>
      </c>
    </row>
    <row r="41" ht="12.75" hidden="1">
      <c r="O41" s="1" t="s">
        <v>61</v>
      </c>
    </row>
  </sheetData>
  <sheetProtection/>
  <mergeCells count="7">
    <mergeCell ref="A25:D25"/>
    <mergeCell ref="A16:A20"/>
    <mergeCell ref="A1:U1"/>
    <mergeCell ref="C2:L2"/>
    <mergeCell ref="B2:B3"/>
    <mergeCell ref="A2:A3"/>
    <mergeCell ref="M2:U2"/>
  </mergeCells>
  <printOptions horizontalCentered="1"/>
  <pageMargins left="0.5" right="0.5" top="0.5" bottom="0.5" header="0.17" footer="0.16"/>
  <pageSetup fitToHeight="1" fitToWidth="1" horizontalDpi="300" verticalDpi="300" orientation="landscape" paperSize="5" scale="87" r:id="rId3"/>
  <ignoredErrors>
    <ignoredError sqref="L4:L15 C21:G21 K21:U21 L20 T5:T15" emptyCellReference="1"/>
  </ignoredErrors>
  <legacyDrawing r:id="rId2"/>
</worksheet>
</file>

<file path=xl/worksheets/sheet3.xml><?xml version="1.0" encoding="utf-8"?>
<worksheet xmlns="http://schemas.openxmlformats.org/spreadsheetml/2006/main" xmlns:r="http://schemas.openxmlformats.org/officeDocument/2006/relationships">
  <sheetPr>
    <tabColor rgb="FFFFFF00"/>
    <pageSetUpPr fitToPage="1"/>
  </sheetPr>
  <dimension ref="A1:M59"/>
  <sheetViews>
    <sheetView showZeros="0" zoomScalePageLayoutView="0" workbookViewId="0" topLeftCell="A1">
      <selection activeCell="C26" sqref="C26"/>
    </sheetView>
  </sheetViews>
  <sheetFormatPr defaultColWidth="9.140625" defaultRowHeight="12.75"/>
  <cols>
    <col min="1" max="1" width="4.140625" style="4" customWidth="1"/>
    <col min="2" max="2" width="4.421875" style="0" customWidth="1"/>
    <col min="3" max="3" width="46.140625" style="0" customWidth="1"/>
    <col min="4" max="4" width="1.57421875" style="3" customWidth="1"/>
    <col min="5" max="5" width="3.00390625" style="0" customWidth="1"/>
    <col min="6" max="6" width="19.00390625" style="0" customWidth="1"/>
    <col min="7" max="7" width="4.140625" style="0" customWidth="1"/>
    <col min="8" max="8" width="16.00390625" style="0" customWidth="1"/>
    <col min="9" max="9" width="1.1484375" style="0" customWidth="1"/>
    <col min="10" max="13" width="9.140625" style="0" hidden="1" customWidth="1"/>
  </cols>
  <sheetData>
    <row r="1" spans="1:9" ht="36" customHeight="1">
      <c r="A1" s="350" t="s">
        <v>352</v>
      </c>
      <c r="B1" s="351"/>
      <c r="C1" s="351"/>
      <c r="D1" s="351"/>
      <c r="E1" s="351"/>
      <c r="F1" s="351"/>
      <c r="G1" s="351"/>
      <c r="H1" s="351"/>
      <c r="I1" s="352"/>
    </row>
    <row r="2" spans="1:9" ht="30" customHeight="1">
      <c r="A2" s="205"/>
      <c r="B2" s="206"/>
      <c r="C2" s="206"/>
      <c r="D2" s="206"/>
      <c r="E2" s="206"/>
      <c r="F2" s="207"/>
      <c r="G2" s="208" t="s">
        <v>316</v>
      </c>
      <c r="H2" s="209" t="str">
        <f>Data!D4</f>
        <v>VXYZA1234A</v>
      </c>
      <c r="I2" s="210"/>
    </row>
    <row r="3" spans="1:9" s="9" customFormat="1" ht="15" customHeight="1">
      <c r="A3" s="18">
        <v>1</v>
      </c>
      <c r="B3" s="19" t="s">
        <v>11</v>
      </c>
      <c r="C3" s="19"/>
      <c r="D3" s="19" t="s">
        <v>17</v>
      </c>
      <c r="E3" s="19"/>
      <c r="F3" s="273" t="str">
        <f>Data!D3</f>
        <v>KUMAR BABU KUCHIPUDI</v>
      </c>
      <c r="G3" s="273"/>
      <c r="H3" s="273"/>
      <c r="I3" s="21"/>
    </row>
    <row r="4" spans="1:9" s="9" customFormat="1" ht="15" customHeight="1">
      <c r="A4" s="18">
        <v>2</v>
      </c>
      <c r="B4" s="19" t="s">
        <v>12</v>
      </c>
      <c r="C4" s="19"/>
      <c r="D4" s="19" t="s">
        <v>17</v>
      </c>
      <c r="E4" s="19"/>
      <c r="F4" s="273">
        <f>Data!D5</f>
        <v>0</v>
      </c>
      <c r="G4" s="273"/>
      <c r="H4" s="273"/>
      <c r="I4" s="21"/>
    </row>
    <row r="5" spans="1:9" s="9" customFormat="1" ht="15" customHeight="1">
      <c r="A5" s="18">
        <v>3</v>
      </c>
      <c r="B5" s="19" t="s">
        <v>13</v>
      </c>
      <c r="C5" s="19"/>
      <c r="D5" s="19" t="s">
        <v>17</v>
      </c>
      <c r="E5" s="19"/>
      <c r="F5" s="273" t="str">
        <f>Data!D6</f>
        <v>Z.P.H.SCHOOL, RAVELA</v>
      </c>
      <c r="G5" s="273"/>
      <c r="H5" s="273"/>
      <c r="I5" s="21"/>
    </row>
    <row r="6" spans="1:9" s="9" customFormat="1" ht="15" customHeight="1">
      <c r="A6" s="18">
        <v>4</v>
      </c>
      <c r="B6" s="19" t="s">
        <v>18</v>
      </c>
      <c r="C6" s="19"/>
      <c r="D6" s="19" t="s">
        <v>17</v>
      </c>
      <c r="E6" s="270"/>
      <c r="F6" s="270"/>
      <c r="G6" s="271" t="str">
        <f>IF(H6&gt;0,"Rs",0)</f>
        <v>Rs</v>
      </c>
      <c r="H6" s="272">
        <f>STATEMENT!L21</f>
        <v>393298</v>
      </c>
      <c r="I6" s="21"/>
    </row>
    <row r="7" spans="1:9" s="9" customFormat="1" ht="15" customHeight="1">
      <c r="A7" s="18">
        <v>5</v>
      </c>
      <c r="B7" s="19" t="s">
        <v>19</v>
      </c>
      <c r="C7" s="19"/>
      <c r="D7" s="19" t="s">
        <v>17</v>
      </c>
      <c r="E7" s="273"/>
      <c r="F7" s="274"/>
      <c r="G7" s="271"/>
      <c r="H7" s="275"/>
      <c r="I7" s="21"/>
    </row>
    <row r="8" spans="1:11" s="9" customFormat="1" ht="15" customHeight="1">
      <c r="A8" s="18"/>
      <c r="B8" s="19"/>
      <c r="C8" s="19" t="s">
        <v>20</v>
      </c>
      <c r="D8" s="19" t="s">
        <v>17</v>
      </c>
      <c r="E8" s="273" t="str">
        <f>IF(F8&gt;0,"Rs",0)</f>
        <v>Rs</v>
      </c>
      <c r="F8" s="276">
        <f>K8</f>
        <v>26430</v>
      </c>
      <c r="G8" s="271"/>
      <c r="H8" s="275"/>
      <c r="I8" s="21"/>
      <c r="K8" s="23">
        <f>STATEMENT!K21</f>
        <v>26430</v>
      </c>
    </row>
    <row r="9" spans="1:13" s="9" customFormat="1" ht="31.5" customHeight="1">
      <c r="A9" s="18"/>
      <c r="B9" s="19"/>
      <c r="C9" s="214" t="str">
        <f>CONCATENATE("ii) Rent paid in Excess of 10% of Salary (Pay+DA)"," ","@ Rs ",M9," per month")</f>
        <v>ii) Rent paid in Excess of 10% of Salary (Pay+DA) @ Rs 6700 per month</v>
      </c>
      <c r="D9" s="215" t="s">
        <v>17</v>
      </c>
      <c r="E9" s="271" t="str">
        <f>IF(F9&gt;0,"Rs",0)</f>
        <v>Rs</v>
      </c>
      <c r="F9" s="277">
        <f>IF(Data!E27=2,K9,0)</f>
        <v>44787</v>
      </c>
      <c r="G9" s="271"/>
      <c r="H9" s="275"/>
      <c r="I9" s="21"/>
      <c r="K9" s="24">
        <f>ROUND(Data!C27*12-(STATEMENT!C21+STATEMENT!J21)*10%,0)</f>
        <v>44787</v>
      </c>
      <c r="L9" s="216" t="s">
        <v>373</v>
      </c>
      <c r="M9" s="9">
        <f>Data!C27</f>
        <v>6700</v>
      </c>
    </row>
    <row r="10" spans="1:11" s="9" customFormat="1" ht="15" customHeight="1">
      <c r="A10" s="18"/>
      <c r="B10" s="19"/>
      <c r="C10" s="19" t="s">
        <v>50</v>
      </c>
      <c r="D10" s="19" t="s">
        <v>17</v>
      </c>
      <c r="E10" s="271" t="str">
        <f>IF(F10&gt;0,"Rs",0)</f>
        <v>Rs</v>
      </c>
      <c r="F10" s="278">
        <f>K10</f>
        <v>142452</v>
      </c>
      <c r="G10" s="271"/>
      <c r="H10" s="275"/>
      <c r="I10" s="21"/>
      <c r="K10" s="24">
        <f>ROUND((STATEMENT!C21+STATEMENT!J21)*40%,0)</f>
        <v>142452</v>
      </c>
    </row>
    <row r="11" spans="1:11" s="9" customFormat="1" ht="15" customHeight="1">
      <c r="A11" s="18"/>
      <c r="B11" s="19"/>
      <c r="C11" s="19" t="s">
        <v>21</v>
      </c>
      <c r="D11" s="19" t="s">
        <v>17</v>
      </c>
      <c r="E11" s="271"/>
      <c r="F11" s="274"/>
      <c r="G11" s="271" t="str">
        <f>IF(H11&gt;0,"Rs",0)</f>
        <v>Rs</v>
      </c>
      <c r="H11" s="277">
        <f>IF(Data!E27=2,K11,0)</f>
        <v>26430</v>
      </c>
      <c r="I11" s="21"/>
      <c r="K11" s="22">
        <f>MIN(K8:K10)</f>
        <v>26430</v>
      </c>
    </row>
    <row r="12" spans="1:10" s="9" customFormat="1" ht="15" customHeight="1">
      <c r="A12" s="18">
        <v>6</v>
      </c>
      <c r="B12" s="19" t="s">
        <v>44</v>
      </c>
      <c r="C12" s="19"/>
      <c r="D12" s="19" t="s">
        <v>17</v>
      </c>
      <c r="E12" s="271"/>
      <c r="F12" s="274"/>
      <c r="G12" s="271" t="str">
        <f>IF(H12&gt;0,"Rs",0)</f>
        <v>Rs</v>
      </c>
      <c r="H12" s="272">
        <f>H6-H11</f>
        <v>366868</v>
      </c>
      <c r="I12" s="21"/>
      <c r="J12" s="15"/>
    </row>
    <row r="13" spans="1:9" s="9" customFormat="1" ht="15" customHeight="1">
      <c r="A13" s="18">
        <v>7</v>
      </c>
      <c r="B13" s="19" t="s">
        <v>22</v>
      </c>
      <c r="C13" s="19"/>
      <c r="D13" s="19" t="s">
        <v>17</v>
      </c>
      <c r="E13" s="271"/>
      <c r="F13" s="274"/>
      <c r="G13" s="271"/>
      <c r="H13" s="275"/>
      <c r="I13" s="21"/>
    </row>
    <row r="14" spans="1:9" s="9" customFormat="1" ht="15" customHeight="1">
      <c r="A14" s="18"/>
      <c r="B14" s="19"/>
      <c r="C14" s="19" t="s">
        <v>23</v>
      </c>
      <c r="D14" s="19" t="s">
        <v>17</v>
      </c>
      <c r="E14" s="271" t="str">
        <f aca="true" t="shared" si="0" ref="E14:E44">IF(F14&gt;0,"Rs",0)</f>
        <v>Rs</v>
      </c>
      <c r="F14" s="274">
        <f>STATEMENT!R21</f>
        <v>2400</v>
      </c>
      <c r="G14" s="271"/>
      <c r="H14" s="275"/>
      <c r="I14" s="21"/>
    </row>
    <row r="15" spans="1:9" s="9" customFormat="1" ht="15" customHeight="1">
      <c r="A15" s="18"/>
      <c r="B15" s="19"/>
      <c r="C15" s="19" t="s">
        <v>365</v>
      </c>
      <c r="D15" s="19" t="s">
        <v>17</v>
      </c>
      <c r="E15" s="271">
        <f t="shared" si="0"/>
        <v>0</v>
      </c>
      <c r="F15" s="274">
        <f>IF(Data!E35&gt;150000,150000,Data!E35)</f>
        <v>0</v>
      </c>
      <c r="G15" s="271"/>
      <c r="H15" s="275"/>
      <c r="I15" s="21"/>
    </row>
    <row r="16" spans="1:9" s="9" customFormat="1" ht="15" customHeight="1">
      <c r="A16" s="18"/>
      <c r="B16" s="19"/>
      <c r="C16" s="19" t="s">
        <v>24</v>
      </c>
      <c r="D16" s="19" t="s">
        <v>17</v>
      </c>
      <c r="E16" s="271" t="str">
        <f t="shared" si="0"/>
        <v>Rs</v>
      </c>
      <c r="F16" s="274">
        <f>SUM(F14:F15)</f>
        <v>2400</v>
      </c>
      <c r="G16" s="271"/>
      <c r="H16" s="275"/>
      <c r="I16" s="21"/>
    </row>
    <row r="17" spans="1:9" s="9" customFormat="1" ht="15" customHeight="1">
      <c r="A17" s="18">
        <v>8</v>
      </c>
      <c r="B17" s="19" t="s">
        <v>25</v>
      </c>
      <c r="C17" s="19"/>
      <c r="D17" s="19" t="s">
        <v>17</v>
      </c>
      <c r="E17" s="271"/>
      <c r="F17" s="274"/>
      <c r="G17" s="271" t="str">
        <f>IF(H17&gt;0,"Rs",0)</f>
        <v>Rs</v>
      </c>
      <c r="H17" s="272">
        <f>H12-F16</f>
        <v>364468</v>
      </c>
      <c r="I17" s="21"/>
    </row>
    <row r="18" spans="1:9" s="9" customFormat="1" ht="15" customHeight="1">
      <c r="A18" s="18">
        <v>9</v>
      </c>
      <c r="B18" s="19" t="s">
        <v>367</v>
      </c>
      <c r="C18" s="19"/>
      <c r="D18" s="19" t="s">
        <v>17</v>
      </c>
      <c r="E18" s="271"/>
      <c r="F18" s="274"/>
      <c r="G18" s="271"/>
      <c r="H18" s="275"/>
      <c r="I18" s="21"/>
    </row>
    <row r="19" spans="1:9" s="9" customFormat="1" ht="15" customHeight="1">
      <c r="A19" s="18"/>
      <c r="B19" s="19" t="s">
        <v>120</v>
      </c>
      <c r="C19" s="19" t="s">
        <v>73</v>
      </c>
      <c r="D19" s="19" t="s">
        <v>17</v>
      </c>
      <c r="E19" s="271" t="str">
        <f t="shared" si="0"/>
        <v>Rs</v>
      </c>
      <c r="F19" s="274">
        <f>STATEMENT!M21+STATEMENT!N21</f>
        <v>33310</v>
      </c>
      <c r="G19" s="271"/>
      <c r="H19" s="275"/>
      <c r="I19" s="21"/>
    </row>
    <row r="20" spans="1:9" s="9" customFormat="1" ht="15" customHeight="1">
      <c r="A20" s="18"/>
      <c r="B20" s="19"/>
      <c r="C20" s="19" t="s">
        <v>26</v>
      </c>
      <c r="D20" s="19" t="s">
        <v>17</v>
      </c>
      <c r="E20" s="271" t="str">
        <f t="shared" si="0"/>
        <v>Rs</v>
      </c>
      <c r="F20" s="274">
        <f>STATEMENT!O21</f>
        <v>720</v>
      </c>
      <c r="G20" s="271"/>
      <c r="H20" s="275"/>
      <c r="I20" s="21"/>
    </row>
    <row r="21" spans="1:9" s="9" customFormat="1" ht="15" customHeight="1">
      <c r="A21" s="18"/>
      <c r="B21" s="19"/>
      <c r="C21" s="19" t="s">
        <v>27</v>
      </c>
      <c r="D21" s="19" t="s">
        <v>17</v>
      </c>
      <c r="E21" s="271">
        <f t="shared" si="0"/>
        <v>0</v>
      </c>
      <c r="F21" s="274">
        <f>Data!E37</f>
        <v>0</v>
      </c>
      <c r="G21" s="271"/>
      <c r="H21" s="275"/>
      <c r="I21" s="21"/>
    </row>
    <row r="22" spans="1:9" s="9" customFormat="1" ht="15" customHeight="1">
      <c r="A22" s="18"/>
      <c r="B22" s="19"/>
      <c r="C22" s="19" t="s">
        <v>431</v>
      </c>
      <c r="D22" s="19" t="s">
        <v>17</v>
      </c>
      <c r="E22" s="271">
        <f t="shared" si="0"/>
        <v>0</v>
      </c>
      <c r="F22" s="274">
        <f>Data!E38</f>
        <v>0</v>
      </c>
      <c r="G22" s="271"/>
      <c r="H22" s="275"/>
      <c r="I22" s="21"/>
    </row>
    <row r="23" spans="1:9" s="9" customFormat="1" ht="15" customHeight="1">
      <c r="A23" s="18"/>
      <c r="B23" s="19"/>
      <c r="C23" s="19" t="s">
        <v>28</v>
      </c>
      <c r="D23" s="19" t="s">
        <v>17</v>
      </c>
      <c r="E23" s="271" t="str">
        <f t="shared" si="0"/>
        <v>Rs</v>
      </c>
      <c r="F23" s="274">
        <f>STATEMENT!P21</f>
        <v>7200</v>
      </c>
      <c r="G23" s="271"/>
      <c r="H23" s="275"/>
      <c r="I23" s="21"/>
    </row>
    <row r="24" spans="1:9" s="9" customFormat="1" ht="15" customHeight="1">
      <c r="A24" s="18"/>
      <c r="B24" s="19"/>
      <c r="C24" s="19" t="s">
        <v>29</v>
      </c>
      <c r="D24" s="19" t="s">
        <v>17</v>
      </c>
      <c r="E24" s="271">
        <f t="shared" si="0"/>
        <v>0</v>
      </c>
      <c r="F24" s="274">
        <f>Data!E32</f>
        <v>0</v>
      </c>
      <c r="G24" s="271"/>
      <c r="H24" s="275"/>
      <c r="I24" s="21"/>
    </row>
    <row r="25" spans="1:9" s="9" customFormat="1" ht="15" customHeight="1">
      <c r="A25" s="18"/>
      <c r="B25" s="19"/>
      <c r="C25" s="19" t="s">
        <v>376</v>
      </c>
      <c r="D25" s="19" t="s">
        <v>17</v>
      </c>
      <c r="E25" s="271">
        <f t="shared" si="0"/>
        <v>0</v>
      </c>
      <c r="F25" s="274">
        <f>Data!E33</f>
        <v>0</v>
      </c>
      <c r="G25" s="271"/>
      <c r="H25" s="275"/>
      <c r="I25" s="21"/>
    </row>
    <row r="26" spans="1:9" s="9" customFormat="1" ht="15" customHeight="1">
      <c r="A26" s="18"/>
      <c r="B26" s="19"/>
      <c r="C26" s="19" t="s">
        <v>30</v>
      </c>
      <c r="D26" s="19" t="s">
        <v>17</v>
      </c>
      <c r="E26" s="271">
        <f t="shared" si="0"/>
        <v>0</v>
      </c>
      <c r="F26" s="274">
        <f>Data!E34</f>
        <v>0</v>
      </c>
      <c r="G26" s="271"/>
      <c r="H26" s="275"/>
      <c r="I26" s="21"/>
    </row>
    <row r="27" spans="1:9" s="9" customFormat="1" ht="15" customHeight="1">
      <c r="A27" s="18"/>
      <c r="B27" s="19"/>
      <c r="C27" s="19" t="s">
        <v>31</v>
      </c>
      <c r="D27" s="19" t="s">
        <v>17</v>
      </c>
      <c r="E27" s="271">
        <f t="shared" si="0"/>
        <v>0</v>
      </c>
      <c r="F27" s="274">
        <f>Data!E39</f>
        <v>0</v>
      </c>
      <c r="G27" s="271"/>
      <c r="H27" s="275"/>
      <c r="I27" s="21"/>
    </row>
    <row r="28" spans="1:9" s="9" customFormat="1" ht="15" customHeight="1">
      <c r="A28" s="18"/>
      <c r="B28" s="19"/>
      <c r="C28" s="19" t="s">
        <v>345</v>
      </c>
      <c r="D28" s="19" t="s">
        <v>17</v>
      </c>
      <c r="E28" s="271">
        <f t="shared" si="0"/>
        <v>0</v>
      </c>
      <c r="F28" s="274">
        <f>Data!E40</f>
        <v>0</v>
      </c>
      <c r="G28" s="271"/>
      <c r="H28" s="275"/>
      <c r="I28" s="21"/>
    </row>
    <row r="29" spans="1:9" s="9" customFormat="1" ht="15" customHeight="1">
      <c r="A29" s="18"/>
      <c r="B29" s="19"/>
      <c r="C29" s="19" t="s">
        <v>369</v>
      </c>
      <c r="D29" s="19" t="s">
        <v>17</v>
      </c>
      <c r="E29" s="271" t="str">
        <f t="shared" si="0"/>
        <v>Rs</v>
      </c>
      <c r="F29" s="274">
        <f>SUM(F19:F28)</f>
        <v>41230</v>
      </c>
      <c r="G29" s="271" t="str">
        <f>IF(H29&gt;0,"Rs",0)</f>
        <v>Rs</v>
      </c>
      <c r="H29" s="279">
        <f>IF(F29&gt;=100000,100000,F29)</f>
        <v>41230</v>
      </c>
      <c r="I29" s="21"/>
    </row>
    <row r="30" spans="1:9" s="9" customFormat="1" ht="15" customHeight="1">
      <c r="A30" s="18"/>
      <c r="B30" s="19" t="s">
        <v>32</v>
      </c>
      <c r="C30" s="19"/>
      <c r="D30" s="19" t="s">
        <v>17</v>
      </c>
      <c r="E30" s="271">
        <f t="shared" si="0"/>
        <v>0</v>
      </c>
      <c r="F30" s="274">
        <f>Data!E41</f>
        <v>0</v>
      </c>
      <c r="G30" s="271"/>
      <c r="H30" s="275"/>
      <c r="I30" s="21"/>
    </row>
    <row r="31" spans="1:9" s="9" customFormat="1" ht="15" customHeight="1">
      <c r="A31" s="18"/>
      <c r="B31" s="19" t="s">
        <v>66</v>
      </c>
      <c r="C31" s="19"/>
      <c r="D31" s="19" t="s">
        <v>17</v>
      </c>
      <c r="E31" s="271">
        <f t="shared" si="0"/>
        <v>0</v>
      </c>
      <c r="F31" s="274">
        <f>Data!E50</f>
        <v>0</v>
      </c>
      <c r="G31" s="271"/>
      <c r="H31" s="275"/>
      <c r="I31" s="21"/>
    </row>
    <row r="32" spans="1:9" s="9" customFormat="1" ht="15" customHeight="1">
      <c r="A32" s="18"/>
      <c r="B32" s="19" t="s">
        <v>33</v>
      </c>
      <c r="C32" s="19"/>
      <c r="D32" s="19" t="s">
        <v>17</v>
      </c>
      <c r="E32" s="271">
        <f t="shared" si="0"/>
        <v>0</v>
      </c>
      <c r="F32" s="274">
        <f>Data!E43</f>
        <v>0</v>
      </c>
      <c r="G32" s="271"/>
      <c r="H32" s="275"/>
      <c r="I32" s="21"/>
    </row>
    <row r="33" spans="1:9" s="9" customFormat="1" ht="15" customHeight="1">
      <c r="A33" s="18"/>
      <c r="B33" s="19" t="s">
        <v>34</v>
      </c>
      <c r="C33" s="19"/>
      <c r="D33" s="19" t="s">
        <v>17</v>
      </c>
      <c r="E33" s="271">
        <f t="shared" si="0"/>
        <v>0</v>
      </c>
      <c r="F33" s="274"/>
      <c r="G33" s="271"/>
      <c r="H33" s="275"/>
      <c r="I33" s="21"/>
    </row>
    <row r="34" spans="1:10" s="9" customFormat="1" ht="15" customHeight="1">
      <c r="A34" s="18"/>
      <c r="B34" s="23"/>
      <c r="C34" s="23" t="s">
        <v>35</v>
      </c>
      <c r="D34" s="19" t="s">
        <v>17</v>
      </c>
      <c r="E34" s="271" t="str">
        <f t="shared" si="0"/>
        <v>Rs</v>
      </c>
      <c r="F34" s="280">
        <f>STATEMENT!U21</f>
        <v>283</v>
      </c>
      <c r="G34" s="271"/>
      <c r="H34" s="275"/>
      <c r="I34" s="21"/>
      <c r="J34" s="15"/>
    </row>
    <row r="35" spans="1:9" s="9" customFormat="1" ht="15" customHeight="1">
      <c r="A35" s="18"/>
      <c r="B35" s="23"/>
      <c r="C35" s="23" t="s">
        <v>36</v>
      </c>
      <c r="D35" s="19" t="s">
        <v>17</v>
      </c>
      <c r="E35" s="271" t="str">
        <f t="shared" si="0"/>
        <v>Rs</v>
      </c>
      <c r="F35" s="274">
        <f>Data!E45</f>
        <v>20</v>
      </c>
      <c r="G35" s="271"/>
      <c r="H35" s="275"/>
      <c r="I35" s="21"/>
    </row>
    <row r="36" spans="1:9" s="9" customFormat="1" ht="15" customHeight="1">
      <c r="A36" s="18"/>
      <c r="B36" s="23"/>
      <c r="C36" s="23" t="s">
        <v>37</v>
      </c>
      <c r="D36" s="19" t="s">
        <v>17</v>
      </c>
      <c r="E36" s="271" t="str">
        <f t="shared" si="0"/>
        <v>Rs</v>
      </c>
      <c r="F36" s="274">
        <f>Data!E46</f>
        <v>20</v>
      </c>
      <c r="G36" s="271"/>
      <c r="H36" s="275"/>
      <c r="I36" s="21"/>
    </row>
    <row r="37" spans="1:10" s="9" customFormat="1" ht="15" customHeight="1">
      <c r="A37" s="18"/>
      <c r="B37" s="23"/>
      <c r="C37" s="23" t="s">
        <v>38</v>
      </c>
      <c r="D37" s="19" t="s">
        <v>17</v>
      </c>
      <c r="E37" s="271">
        <f t="shared" si="0"/>
        <v>0</v>
      </c>
      <c r="F37" s="274">
        <f>Data!E47</f>
        <v>0</v>
      </c>
      <c r="G37" s="271"/>
      <c r="H37" s="281"/>
      <c r="I37" s="21"/>
      <c r="J37" s="15"/>
    </row>
    <row r="38" spans="1:9" s="9" customFormat="1" ht="15" customHeight="1">
      <c r="A38" s="18"/>
      <c r="B38" s="19" t="s">
        <v>39</v>
      </c>
      <c r="C38" s="19"/>
      <c r="D38" s="19" t="s">
        <v>17</v>
      </c>
      <c r="E38" s="271">
        <f t="shared" si="0"/>
        <v>0</v>
      </c>
      <c r="F38" s="274">
        <f>Data!E50</f>
        <v>0</v>
      </c>
      <c r="G38" s="271"/>
      <c r="H38" s="275"/>
      <c r="I38" s="21"/>
    </row>
    <row r="39" spans="1:11" s="9" customFormat="1" ht="15" customHeight="1">
      <c r="A39" s="18"/>
      <c r="B39" s="25" t="s">
        <v>366</v>
      </c>
      <c r="C39" s="204"/>
      <c r="D39" s="19" t="s">
        <v>17</v>
      </c>
      <c r="E39" s="271">
        <f t="shared" si="0"/>
        <v>0</v>
      </c>
      <c r="F39" s="280">
        <f>IF(K45&gt;50000,25000,tax!K39)</f>
        <v>0</v>
      </c>
      <c r="G39" s="271"/>
      <c r="H39" s="275"/>
      <c r="I39" s="21"/>
      <c r="K39" s="9">
        <f>Data!E51</f>
        <v>0</v>
      </c>
    </row>
    <row r="40" spans="1:9" s="9" customFormat="1" ht="15" customHeight="1">
      <c r="A40" s="18"/>
      <c r="B40" s="19"/>
      <c r="C40" s="19" t="s">
        <v>368</v>
      </c>
      <c r="D40" s="19" t="s">
        <v>17</v>
      </c>
      <c r="E40" s="271">
        <f t="shared" si="0"/>
        <v>0</v>
      </c>
      <c r="F40" s="280"/>
      <c r="G40" s="271"/>
      <c r="H40" s="279"/>
      <c r="I40" s="21"/>
    </row>
    <row r="41" spans="1:9" s="9" customFormat="1" ht="15" customHeight="1">
      <c r="A41" s="18"/>
      <c r="B41" s="19"/>
      <c r="C41" s="19" t="s">
        <v>387</v>
      </c>
      <c r="D41" s="19" t="s">
        <v>17</v>
      </c>
      <c r="E41" s="271">
        <f t="shared" si="0"/>
        <v>0</v>
      </c>
      <c r="F41" s="280">
        <f>Data!E48</f>
        <v>0</v>
      </c>
      <c r="G41" s="271"/>
      <c r="H41" s="279"/>
      <c r="I41" s="21"/>
    </row>
    <row r="42" spans="1:9" s="9" customFormat="1" ht="15" customHeight="1">
      <c r="A42" s="18"/>
      <c r="B42" s="19"/>
      <c r="C42" s="19" t="s">
        <v>370</v>
      </c>
      <c r="D42" s="19" t="s">
        <v>17</v>
      </c>
      <c r="E42" s="271">
        <f t="shared" si="0"/>
        <v>0</v>
      </c>
      <c r="F42" s="280">
        <f>Data!E36</f>
        <v>0</v>
      </c>
      <c r="G42" s="271"/>
      <c r="H42" s="279"/>
      <c r="I42" s="21"/>
    </row>
    <row r="43" spans="1:9" s="9" customFormat="1" ht="15" customHeight="1">
      <c r="A43" s="18"/>
      <c r="B43" s="19"/>
      <c r="C43" s="19" t="s">
        <v>79</v>
      </c>
      <c r="D43" s="19" t="s">
        <v>17</v>
      </c>
      <c r="E43" s="271">
        <f t="shared" si="0"/>
        <v>0</v>
      </c>
      <c r="F43" s="280">
        <f>Data!E49</f>
        <v>0</v>
      </c>
      <c r="G43" s="271"/>
      <c r="H43" s="279"/>
      <c r="I43" s="21"/>
    </row>
    <row r="44" spans="1:9" s="9" customFormat="1" ht="16.5" customHeight="1">
      <c r="A44" s="18"/>
      <c r="B44" s="19"/>
      <c r="C44" s="211" t="s">
        <v>40</v>
      </c>
      <c r="D44" s="211"/>
      <c r="E44" s="271" t="str">
        <f t="shared" si="0"/>
        <v>Rs</v>
      </c>
      <c r="F44" s="280">
        <f>SUM(F30:F43)</f>
        <v>323</v>
      </c>
      <c r="G44" s="271"/>
      <c r="H44" s="282"/>
      <c r="I44" s="21"/>
    </row>
    <row r="45" spans="1:9" s="9" customFormat="1" ht="16.5" customHeight="1">
      <c r="A45" s="18"/>
      <c r="B45" s="19"/>
      <c r="C45" s="24" t="s">
        <v>372</v>
      </c>
      <c r="D45" s="212"/>
      <c r="E45" s="283"/>
      <c r="F45" s="280"/>
      <c r="G45" s="271" t="str">
        <f aca="true" t="shared" si="1" ref="G45:G57">IF(H45&gt;0,"Rs",0)</f>
        <v>Rs</v>
      </c>
      <c r="H45" s="282">
        <f>H29+F44</f>
        <v>41553</v>
      </c>
      <c r="I45" s="21"/>
    </row>
    <row r="46" spans="1:9" s="9" customFormat="1" ht="15" customHeight="1">
      <c r="A46" s="18">
        <v>10</v>
      </c>
      <c r="B46" s="19" t="s">
        <v>41</v>
      </c>
      <c r="C46" s="19"/>
      <c r="D46" s="19" t="s">
        <v>17</v>
      </c>
      <c r="E46" s="273"/>
      <c r="F46" s="273"/>
      <c r="G46" s="271" t="str">
        <f t="shared" si="1"/>
        <v>Rs</v>
      </c>
      <c r="H46" s="279">
        <f>H17-H45</f>
        <v>322915</v>
      </c>
      <c r="I46" s="21"/>
    </row>
    <row r="47" spans="1:9" s="9" customFormat="1" ht="15" customHeight="1">
      <c r="A47" s="18">
        <v>11</v>
      </c>
      <c r="B47" s="19" t="s">
        <v>42</v>
      </c>
      <c r="C47" s="19"/>
      <c r="D47" s="19" t="s">
        <v>17</v>
      </c>
      <c r="E47" s="273"/>
      <c r="F47" s="273"/>
      <c r="G47" s="271">
        <f t="shared" si="1"/>
        <v>0</v>
      </c>
      <c r="H47" s="275">
        <v>0</v>
      </c>
      <c r="I47" s="21"/>
    </row>
    <row r="48" spans="1:11" s="9" customFormat="1" ht="15" customHeight="1">
      <c r="A48" s="18"/>
      <c r="B48" s="19" t="s">
        <v>84</v>
      </c>
      <c r="C48" s="19"/>
      <c r="D48" s="19" t="s">
        <v>17</v>
      </c>
      <c r="E48" s="270"/>
      <c r="F48" s="270"/>
      <c r="G48" s="271">
        <f t="shared" si="1"/>
        <v>0</v>
      </c>
      <c r="H48" s="272">
        <v>0</v>
      </c>
      <c r="I48" s="21"/>
      <c r="K48" s="20"/>
    </row>
    <row r="49" spans="1:11" s="9" customFormat="1" ht="15" customHeight="1">
      <c r="A49" s="18"/>
      <c r="B49" s="25" t="s">
        <v>87</v>
      </c>
      <c r="C49" s="19"/>
      <c r="D49" s="19" t="s">
        <v>17</v>
      </c>
      <c r="E49" s="270"/>
      <c r="F49" s="270"/>
      <c r="G49" s="271" t="str">
        <f t="shared" si="1"/>
        <v>Rs</v>
      </c>
      <c r="H49" s="277">
        <f>IF(K49&lt;0,0,K49)</f>
        <v>12292</v>
      </c>
      <c r="I49" s="21"/>
      <c r="J49" s="9">
        <f>ROUND((H46-200000)*10%,0)</f>
        <v>12292</v>
      </c>
      <c r="K49" s="23">
        <f>IF(J49&gt;=30000,30000,J49)</f>
        <v>12292</v>
      </c>
    </row>
    <row r="50" spans="1:11" s="9" customFormat="1" ht="15" customHeight="1">
      <c r="A50" s="18"/>
      <c r="B50" s="19" t="s">
        <v>85</v>
      </c>
      <c r="C50" s="19"/>
      <c r="D50" s="19" t="s">
        <v>17</v>
      </c>
      <c r="E50" s="270"/>
      <c r="F50" s="270"/>
      <c r="G50" s="271">
        <f t="shared" si="1"/>
        <v>0</v>
      </c>
      <c r="H50" s="277">
        <f>IF(J50&lt;0,0,K50)</f>
        <v>0</v>
      </c>
      <c r="I50" s="21"/>
      <c r="J50" s="213">
        <f>ROUND((H46-500000)*20%,0)</f>
        <v>-35417</v>
      </c>
      <c r="K50" s="172">
        <f>IF(H46&gt;1000000,100000,J50)</f>
        <v>-35417</v>
      </c>
    </row>
    <row r="51" spans="1:11" s="9" customFormat="1" ht="15" customHeight="1">
      <c r="A51" s="18"/>
      <c r="B51" s="19" t="s">
        <v>86</v>
      </c>
      <c r="C51" s="19"/>
      <c r="D51" s="19" t="s">
        <v>17</v>
      </c>
      <c r="E51" s="270"/>
      <c r="F51" s="270"/>
      <c r="G51" s="271">
        <f t="shared" si="1"/>
        <v>0</v>
      </c>
      <c r="H51" s="272">
        <f>IF(H46&gt;=1000000,J51,0)</f>
        <v>0</v>
      </c>
      <c r="I51" s="21"/>
      <c r="J51" s="9">
        <f>IF(H46&gt;=1000000,K51,0)</f>
        <v>0</v>
      </c>
      <c r="K51" s="22">
        <f>ROUND((H46-1000000)*30%,0)</f>
        <v>-203126</v>
      </c>
    </row>
    <row r="52" spans="1:9" s="9" customFormat="1" ht="15" customHeight="1">
      <c r="A52" s="18">
        <v>12</v>
      </c>
      <c r="B52" s="19" t="s">
        <v>42</v>
      </c>
      <c r="C52" s="19"/>
      <c r="D52" s="19" t="s">
        <v>17</v>
      </c>
      <c r="E52" s="270"/>
      <c r="F52" s="270"/>
      <c r="G52" s="271" t="str">
        <f t="shared" si="1"/>
        <v>Rs</v>
      </c>
      <c r="H52" s="272">
        <f>SUM(H48:H51)</f>
        <v>12292</v>
      </c>
      <c r="I52" s="21"/>
    </row>
    <row r="53" spans="1:11" s="9" customFormat="1" ht="15" customHeight="1">
      <c r="A53" s="18"/>
      <c r="B53" s="19" t="s">
        <v>371</v>
      </c>
      <c r="C53" s="19"/>
      <c r="D53" s="19"/>
      <c r="E53" s="270"/>
      <c r="F53" s="270"/>
      <c r="G53" s="271" t="str">
        <f t="shared" si="1"/>
        <v>Rs</v>
      </c>
      <c r="H53" s="277">
        <f>IF(H46&lt;220000,H52,K53)</f>
        <v>2000</v>
      </c>
      <c r="I53" s="21"/>
      <c r="J53" s="172"/>
      <c r="K53" s="23">
        <f>IF(H46&gt;500000,0,2000)</f>
        <v>2000</v>
      </c>
    </row>
    <row r="54" spans="1:11" s="9" customFormat="1" ht="15" customHeight="1">
      <c r="A54" s="18">
        <v>13</v>
      </c>
      <c r="B54" s="19" t="s">
        <v>48</v>
      </c>
      <c r="C54" s="19"/>
      <c r="D54" s="19" t="s">
        <v>17</v>
      </c>
      <c r="E54" s="270"/>
      <c r="F54" s="270"/>
      <c r="G54" s="271" t="str">
        <f t="shared" si="1"/>
        <v>Rs</v>
      </c>
      <c r="H54" s="272">
        <f>ROUND(K55*2%,0)</f>
        <v>206</v>
      </c>
      <c r="I54" s="21"/>
      <c r="K54" s="9">
        <f>IF(H45&lt;200000,0,H49)</f>
        <v>0</v>
      </c>
    </row>
    <row r="55" spans="1:11" s="9" customFormat="1" ht="15" customHeight="1">
      <c r="A55" s="18">
        <v>14</v>
      </c>
      <c r="B55" s="19" t="s">
        <v>49</v>
      </c>
      <c r="C55" s="19"/>
      <c r="D55" s="19" t="s">
        <v>17</v>
      </c>
      <c r="E55" s="270"/>
      <c r="F55" s="270"/>
      <c r="G55" s="271" t="str">
        <f t="shared" si="1"/>
        <v>Rs</v>
      </c>
      <c r="H55" s="272">
        <f>ROUND(K55*1%,0)</f>
        <v>103</v>
      </c>
      <c r="I55" s="21"/>
      <c r="K55" s="9">
        <f>H52-H53</f>
        <v>10292</v>
      </c>
    </row>
    <row r="56" spans="1:13" s="9" customFormat="1" ht="15" customHeight="1">
      <c r="A56" s="18">
        <v>15</v>
      </c>
      <c r="B56" s="19" t="s">
        <v>43</v>
      </c>
      <c r="C56" s="19"/>
      <c r="D56" s="19" t="s">
        <v>17</v>
      </c>
      <c r="E56" s="270"/>
      <c r="F56" s="270"/>
      <c r="G56" s="271" t="str">
        <f t="shared" si="1"/>
        <v>Rs</v>
      </c>
      <c r="H56" s="272">
        <f>K55+H54+H55</f>
        <v>10601</v>
      </c>
      <c r="I56" s="21"/>
      <c r="K56" s="15">
        <f>H56/10</f>
        <v>1060.1</v>
      </c>
      <c r="L56" s="15">
        <f>INT(K56)</f>
        <v>1060</v>
      </c>
      <c r="M56" s="9">
        <f>H56-L56*10</f>
        <v>1</v>
      </c>
    </row>
    <row r="57" spans="1:13" ht="20.25" customHeight="1">
      <c r="A57" s="26"/>
      <c r="B57" s="17"/>
      <c r="C57" s="17"/>
      <c r="D57" s="27"/>
      <c r="E57" s="284"/>
      <c r="F57" s="285" t="s">
        <v>407</v>
      </c>
      <c r="G57" s="271" t="str">
        <f t="shared" si="1"/>
        <v>Rs</v>
      </c>
      <c r="H57" s="286">
        <f>IF(M56&gt;4,H56+M57,H56-M56)</f>
        <v>10600</v>
      </c>
      <c r="I57" s="28"/>
      <c r="M57">
        <f>IF(M56&gt;4,10-M56,M56)</f>
        <v>1</v>
      </c>
    </row>
    <row r="58" spans="1:9" ht="63" customHeight="1">
      <c r="A58" s="26"/>
      <c r="B58" s="17"/>
      <c r="C58" s="17"/>
      <c r="D58" s="27"/>
      <c r="E58" s="17"/>
      <c r="F58" s="356" t="s">
        <v>64</v>
      </c>
      <c r="G58" s="356"/>
      <c r="H58" s="356"/>
      <c r="I58" s="28"/>
    </row>
    <row r="59" spans="1:9" ht="2.25" customHeight="1">
      <c r="A59" s="354"/>
      <c r="B59" s="355"/>
      <c r="C59" s="355"/>
      <c r="D59" s="29"/>
      <c r="E59" s="30"/>
      <c r="F59" s="30"/>
      <c r="G59" s="353"/>
      <c r="H59" s="353"/>
      <c r="I59" s="31"/>
    </row>
  </sheetData>
  <sheetProtection password="CB0B" sheet="1" objects="1" scenarios="1" selectLockedCells="1"/>
  <mergeCells count="4">
    <mergeCell ref="A1:I1"/>
    <mergeCell ref="G59:H59"/>
    <mergeCell ref="A59:C59"/>
    <mergeCell ref="F58:H58"/>
  </mergeCells>
  <printOptions horizontalCentered="1"/>
  <pageMargins left="0.49" right="0.28" top="0.5" bottom="0.5" header="0.17" footer="0.19"/>
  <pageSetup fitToHeight="1" fitToWidth="1" horizontalDpi="600" verticalDpi="600" orientation="portrait" paperSize="5" scale="98" r:id="rId3"/>
  <ignoredErrors>
    <ignoredError sqref="G45:H57 E8:F44" unlockedFormula="1"/>
  </ignoredErrors>
  <legacyDrawing r:id="rId2"/>
</worksheet>
</file>

<file path=xl/worksheets/sheet4.xml><?xml version="1.0" encoding="utf-8"?>
<worksheet xmlns="http://schemas.openxmlformats.org/spreadsheetml/2006/main" xmlns:r="http://schemas.openxmlformats.org/officeDocument/2006/relationships">
  <sheetPr>
    <tabColor rgb="FF00B050"/>
    <pageSetUpPr fitToPage="1"/>
  </sheetPr>
  <dimension ref="A1:M66"/>
  <sheetViews>
    <sheetView showZeros="0" zoomScalePageLayoutView="0" workbookViewId="0" topLeftCell="A40">
      <selection activeCell="D57" sqref="D57"/>
    </sheetView>
  </sheetViews>
  <sheetFormatPr defaultColWidth="9.140625" defaultRowHeight="12.75"/>
  <cols>
    <col min="1" max="1" width="5.140625" style="37" customWidth="1"/>
    <col min="2" max="2" width="5.7109375" style="37" customWidth="1"/>
    <col min="3" max="3" width="4.57421875" style="37" customWidth="1"/>
    <col min="4" max="4" width="25.140625" style="37" customWidth="1"/>
    <col min="5" max="5" width="10.140625" style="37" customWidth="1"/>
    <col min="6" max="6" width="9.140625" style="37" customWidth="1"/>
    <col min="7" max="7" width="4.00390625" style="37" customWidth="1"/>
    <col min="8" max="8" width="10.421875" style="37" customWidth="1"/>
    <col min="9" max="9" width="3.28125" style="37" customWidth="1"/>
    <col min="10" max="10" width="10.140625" style="37" customWidth="1"/>
    <col min="11" max="11" width="4.57421875" style="37" customWidth="1"/>
    <col min="12" max="12" width="8.7109375" style="37" customWidth="1"/>
    <col min="13" max="16384" width="9.140625" style="37" customWidth="1"/>
  </cols>
  <sheetData>
    <row r="1" spans="1:12" ht="38.25" customHeight="1">
      <c r="A1" s="372" t="s">
        <v>187</v>
      </c>
      <c r="B1" s="373"/>
      <c r="C1" s="373"/>
      <c r="D1" s="373"/>
      <c r="E1" s="373"/>
      <c r="F1" s="373"/>
      <c r="G1" s="373"/>
      <c r="H1" s="373"/>
      <c r="I1" s="373"/>
      <c r="J1" s="373"/>
      <c r="K1" s="373"/>
      <c r="L1" s="374"/>
    </row>
    <row r="2" spans="1:12" ht="15">
      <c r="A2" s="419" t="s">
        <v>317</v>
      </c>
      <c r="B2" s="420"/>
      <c r="C2" s="420"/>
      <c r="D2" s="420"/>
      <c r="E2" s="420"/>
      <c r="F2" s="420"/>
      <c r="G2" s="420"/>
      <c r="H2" s="420"/>
      <c r="I2" s="420"/>
      <c r="J2" s="420"/>
      <c r="K2" s="420"/>
      <c r="L2" s="421"/>
    </row>
    <row r="3" spans="1:12" ht="18.75" customHeight="1">
      <c r="A3" s="422"/>
      <c r="B3" s="423"/>
      <c r="C3" s="423"/>
      <c r="D3" s="423"/>
      <c r="E3" s="423"/>
      <c r="F3" s="423"/>
      <c r="G3" s="423"/>
      <c r="H3" s="423"/>
      <c r="I3" s="423"/>
      <c r="J3" s="423"/>
      <c r="K3" s="423"/>
      <c r="L3" s="424"/>
    </row>
    <row r="4" spans="1:12" ht="26.25" customHeight="1">
      <c r="A4" s="425" t="s">
        <v>90</v>
      </c>
      <c r="B4" s="426"/>
      <c r="C4" s="426"/>
      <c r="D4" s="426"/>
      <c r="E4" s="426"/>
      <c r="F4" s="426"/>
      <c r="G4" s="425" t="s">
        <v>91</v>
      </c>
      <c r="H4" s="426"/>
      <c r="I4" s="426"/>
      <c r="J4" s="426"/>
      <c r="K4" s="426"/>
      <c r="L4" s="427"/>
    </row>
    <row r="5" spans="1:12" ht="15">
      <c r="A5" s="375" t="s">
        <v>190</v>
      </c>
      <c r="B5" s="376"/>
      <c r="C5" s="376"/>
      <c r="D5" s="376"/>
      <c r="E5" s="376"/>
      <c r="F5" s="376"/>
      <c r="G5" s="375" t="str">
        <f>Data!D3</f>
        <v>KUMAR BABU KUCHIPUDI</v>
      </c>
      <c r="H5" s="376"/>
      <c r="I5" s="376"/>
      <c r="J5" s="376"/>
      <c r="K5" s="376"/>
      <c r="L5" s="377"/>
    </row>
    <row r="6" spans="1:12" ht="15.75">
      <c r="A6" s="428" t="s">
        <v>189</v>
      </c>
      <c r="B6" s="429"/>
      <c r="C6" s="429"/>
      <c r="D6" s="429"/>
      <c r="E6" s="429"/>
      <c r="F6" s="429"/>
      <c r="G6" s="389">
        <f>Data!D5</f>
        <v>0</v>
      </c>
      <c r="H6" s="390"/>
      <c r="I6" s="390"/>
      <c r="J6" s="390"/>
      <c r="K6" s="390"/>
      <c r="L6" s="391"/>
    </row>
    <row r="7" spans="1:12" ht="15.75">
      <c r="A7" s="428"/>
      <c r="B7" s="429"/>
      <c r="C7" s="429"/>
      <c r="D7" s="429"/>
      <c r="E7" s="429"/>
      <c r="F7" s="429"/>
      <c r="G7" s="389" t="str">
        <f>Data!D6</f>
        <v>Z.P.H.SCHOOL, RAVELA</v>
      </c>
      <c r="H7" s="390"/>
      <c r="I7" s="390"/>
      <c r="J7" s="390"/>
      <c r="K7" s="390"/>
      <c r="L7" s="391"/>
    </row>
    <row r="8" spans="1:12" ht="15">
      <c r="A8" s="387"/>
      <c r="B8" s="388"/>
      <c r="C8" s="388"/>
      <c r="D8" s="388"/>
      <c r="E8" s="388"/>
      <c r="F8" s="388"/>
      <c r="G8" s="389" t="str">
        <f>CONCATENATE(Data!F6,"  ",Data!G6)</f>
        <v>TADIKONDA MANDAL  GUNTUR DT</v>
      </c>
      <c r="H8" s="390"/>
      <c r="I8" s="390"/>
      <c r="J8" s="390"/>
      <c r="K8" s="390"/>
      <c r="L8" s="391"/>
    </row>
    <row r="9" spans="1:12" ht="21.75" customHeight="1">
      <c r="A9" s="364" t="s">
        <v>318</v>
      </c>
      <c r="B9" s="364"/>
      <c r="C9" s="364"/>
      <c r="D9" s="364"/>
      <c r="E9" s="364" t="s">
        <v>327</v>
      </c>
      <c r="F9" s="364"/>
      <c r="G9" s="362" t="s">
        <v>326</v>
      </c>
      <c r="H9" s="362"/>
      <c r="I9" s="362"/>
      <c r="J9" s="362"/>
      <c r="K9" s="362"/>
      <c r="L9" s="362"/>
    </row>
    <row r="10" spans="1:12" ht="18.75" customHeight="1">
      <c r="A10" s="363"/>
      <c r="B10" s="363"/>
      <c r="C10" s="363"/>
      <c r="D10" s="363"/>
      <c r="E10" s="364" t="str">
        <f>Data!C30</f>
        <v>HYDZ00524G</v>
      </c>
      <c r="F10" s="364"/>
      <c r="G10" s="418" t="str">
        <f>Data!D4</f>
        <v>VXYZA1234A</v>
      </c>
      <c r="H10" s="418"/>
      <c r="I10" s="418"/>
      <c r="J10" s="418"/>
      <c r="K10" s="418"/>
      <c r="L10" s="418"/>
    </row>
    <row r="11" spans="1:12" ht="23.25" customHeight="1">
      <c r="A11" s="366" t="s">
        <v>319</v>
      </c>
      <c r="B11" s="367"/>
      <c r="C11" s="367"/>
      <c r="D11" s="367"/>
      <c r="E11" s="367"/>
      <c r="F11" s="368"/>
      <c r="G11" s="384" t="s">
        <v>78</v>
      </c>
      <c r="H11" s="385"/>
      <c r="I11" s="385"/>
      <c r="J11" s="386" t="s">
        <v>93</v>
      </c>
      <c r="K11" s="386"/>
      <c r="L11" s="386"/>
    </row>
    <row r="12" spans="1:12" ht="15">
      <c r="A12" s="369" t="s">
        <v>320</v>
      </c>
      <c r="B12" s="370"/>
      <c r="C12" s="370" t="s">
        <v>332</v>
      </c>
      <c r="D12" s="370"/>
      <c r="E12" s="370"/>
      <c r="F12" s="417"/>
      <c r="G12" s="378" t="s">
        <v>374</v>
      </c>
      <c r="H12" s="379"/>
      <c r="I12" s="379"/>
      <c r="J12" s="147" t="s">
        <v>94</v>
      </c>
      <c r="K12" s="357" t="s">
        <v>95</v>
      </c>
      <c r="L12" s="357"/>
    </row>
    <row r="13" spans="1:12" ht="15">
      <c r="A13" s="148"/>
      <c r="B13" s="38"/>
      <c r="C13" s="370"/>
      <c r="D13" s="370"/>
      <c r="E13" s="370"/>
      <c r="F13" s="417"/>
      <c r="G13" s="380"/>
      <c r="H13" s="381"/>
      <c r="I13" s="381"/>
      <c r="J13" s="365" t="s">
        <v>394</v>
      </c>
      <c r="K13" s="365" t="s">
        <v>395</v>
      </c>
      <c r="L13" s="365"/>
    </row>
    <row r="14" spans="1:12" ht="15">
      <c r="A14" s="159"/>
      <c r="B14" s="160"/>
      <c r="C14" s="161"/>
      <c r="D14" s="161"/>
      <c r="E14" s="160"/>
      <c r="F14" s="162"/>
      <c r="G14" s="382"/>
      <c r="H14" s="383"/>
      <c r="I14" s="383"/>
      <c r="J14" s="365"/>
      <c r="K14" s="365"/>
      <c r="L14" s="365"/>
    </row>
    <row r="15" spans="1:12" ht="15" customHeight="1">
      <c r="A15" s="358" t="s">
        <v>321</v>
      </c>
      <c r="B15" s="359"/>
      <c r="C15" s="359"/>
      <c r="D15" s="359"/>
      <c r="E15" s="359"/>
      <c r="F15" s="359"/>
      <c r="G15" s="359"/>
      <c r="H15" s="359"/>
      <c r="I15" s="359"/>
      <c r="J15" s="359"/>
      <c r="K15" s="359"/>
      <c r="L15" s="360"/>
    </row>
    <row r="16" spans="1:12" ht="42.75" customHeight="1">
      <c r="A16" s="361" t="s">
        <v>92</v>
      </c>
      <c r="B16" s="361"/>
      <c r="C16" s="361"/>
      <c r="D16" s="236" t="s">
        <v>322</v>
      </c>
      <c r="E16" s="371" t="s">
        <v>408</v>
      </c>
      <c r="F16" s="371"/>
      <c r="G16" s="371"/>
      <c r="H16" s="371"/>
      <c r="I16" s="371" t="s">
        <v>323</v>
      </c>
      <c r="J16" s="371"/>
      <c r="K16" s="371"/>
      <c r="L16" s="371"/>
    </row>
    <row r="17" spans="1:12" ht="15">
      <c r="A17" s="361">
        <v>1</v>
      </c>
      <c r="B17" s="361"/>
      <c r="C17" s="361"/>
      <c r="D17" s="237"/>
      <c r="E17" s="357">
        <f>STATEMENT!T4+STATEMENT!T5+STATEMENT!T6</f>
        <v>0</v>
      </c>
      <c r="F17" s="357"/>
      <c r="G17" s="357"/>
      <c r="H17" s="357"/>
      <c r="I17" s="357">
        <f>E17</f>
        <v>0</v>
      </c>
      <c r="J17" s="357"/>
      <c r="K17" s="357"/>
      <c r="L17" s="357"/>
    </row>
    <row r="18" spans="1:12" ht="15">
      <c r="A18" s="357">
        <v>2</v>
      </c>
      <c r="B18" s="357"/>
      <c r="C18" s="357"/>
      <c r="D18" s="237"/>
      <c r="E18" s="357">
        <f>STATEMENT!T7+STATEMENT!T8+STATEMENT!T9</f>
        <v>0</v>
      </c>
      <c r="F18" s="357"/>
      <c r="G18" s="357"/>
      <c r="H18" s="357"/>
      <c r="I18" s="357">
        <f>E18</f>
        <v>0</v>
      </c>
      <c r="J18" s="357"/>
      <c r="K18" s="357"/>
      <c r="L18" s="357"/>
    </row>
    <row r="19" spans="1:12" ht="15">
      <c r="A19" s="357">
        <v>3</v>
      </c>
      <c r="B19" s="357"/>
      <c r="C19" s="357"/>
      <c r="D19" s="237"/>
      <c r="E19" s="357">
        <f>STATEMENT!T10+STATEMENT!T11+STATEMENT!T12</f>
        <v>0</v>
      </c>
      <c r="F19" s="357"/>
      <c r="G19" s="357"/>
      <c r="H19" s="357"/>
      <c r="I19" s="357">
        <f>E19</f>
        <v>0</v>
      </c>
      <c r="J19" s="357"/>
      <c r="K19" s="357"/>
      <c r="L19" s="357"/>
    </row>
    <row r="20" spans="1:12" ht="15">
      <c r="A20" s="414">
        <v>4</v>
      </c>
      <c r="B20" s="415"/>
      <c r="C20" s="416"/>
      <c r="D20" s="237"/>
      <c r="E20" s="357">
        <f>STATEMENT!T13+STATEMENT!T14+STATEMENT!T15</f>
        <v>0</v>
      </c>
      <c r="F20" s="357"/>
      <c r="G20" s="357"/>
      <c r="H20" s="357"/>
      <c r="I20" s="357">
        <f>E20</f>
        <v>0</v>
      </c>
      <c r="J20" s="357"/>
      <c r="K20" s="357"/>
      <c r="L20" s="357"/>
    </row>
    <row r="21" spans="1:12" ht="15">
      <c r="A21" s="357" t="s">
        <v>24</v>
      </c>
      <c r="B21" s="357"/>
      <c r="C21" s="357"/>
      <c r="D21" s="237"/>
      <c r="E21" s="357">
        <f>E17+E18+E19+E20</f>
        <v>0</v>
      </c>
      <c r="F21" s="357"/>
      <c r="G21" s="357"/>
      <c r="H21" s="357"/>
      <c r="I21" s="357">
        <f>I17+I18+I19+I20</f>
        <v>0</v>
      </c>
      <c r="J21" s="357"/>
      <c r="K21" s="357"/>
      <c r="L21" s="357"/>
    </row>
    <row r="22" spans="1:12" ht="19.5" customHeight="1">
      <c r="A22" s="362" t="s">
        <v>324</v>
      </c>
      <c r="B22" s="362"/>
      <c r="C22" s="362"/>
      <c r="D22" s="362"/>
      <c r="E22" s="362"/>
      <c r="F22" s="362"/>
      <c r="G22" s="362"/>
      <c r="H22" s="362"/>
      <c r="I22" s="362"/>
      <c r="J22" s="362"/>
      <c r="K22" s="362"/>
      <c r="L22" s="362"/>
    </row>
    <row r="23" spans="1:12" ht="15.75">
      <c r="A23" s="362" t="s">
        <v>96</v>
      </c>
      <c r="B23" s="362"/>
      <c r="C23" s="362"/>
      <c r="D23" s="362"/>
      <c r="E23" s="362"/>
      <c r="F23" s="362"/>
      <c r="G23" s="362"/>
      <c r="H23" s="362"/>
      <c r="I23" s="362"/>
      <c r="J23" s="362"/>
      <c r="K23" s="362"/>
      <c r="L23" s="362"/>
    </row>
    <row r="24" spans="1:12" ht="28.5" customHeight="1">
      <c r="A24" s="106">
        <v>1</v>
      </c>
      <c r="B24" s="412" t="s">
        <v>97</v>
      </c>
      <c r="C24" s="413"/>
      <c r="D24" s="413"/>
      <c r="E24" s="107"/>
      <c r="F24" s="107"/>
      <c r="G24" s="108" t="s">
        <v>98</v>
      </c>
      <c r="H24" s="109">
        <f>tax!H6</f>
        <v>393298</v>
      </c>
      <c r="I24" s="110"/>
      <c r="J24" s="111"/>
      <c r="K24" s="110"/>
      <c r="L24" s="112"/>
    </row>
    <row r="25" spans="1:12" ht="15">
      <c r="A25" s="39"/>
      <c r="B25" s="45" t="s">
        <v>99</v>
      </c>
      <c r="C25" s="396" t="s">
        <v>100</v>
      </c>
      <c r="D25" s="396"/>
      <c r="E25" s="396"/>
      <c r="F25" s="396"/>
      <c r="G25" s="47" t="s">
        <v>98</v>
      </c>
      <c r="H25" s="48">
        <v>0</v>
      </c>
      <c r="I25" s="43"/>
      <c r="J25" s="44"/>
      <c r="K25" s="43"/>
      <c r="L25" s="55"/>
    </row>
    <row r="26" spans="1:12" ht="15">
      <c r="A26" s="39"/>
      <c r="B26" s="45" t="s">
        <v>101</v>
      </c>
      <c r="C26" s="396" t="s">
        <v>102</v>
      </c>
      <c r="D26" s="396"/>
      <c r="E26" s="396"/>
      <c r="F26" s="396"/>
      <c r="G26" s="47" t="s">
        <v>98</v>
      </c>
      <c r="H26" s="48">
        <v>0</v>
      </c>
      <c r="I26" s="43"/>
      <c r="J26" s="44"/>
      <c r="K26" s="43"/>
      <c r="L26" s="55"/>
    </row>
    <row r="27" spans="1:12" ht="15">
      <c r="A27" s="39"/>
      <c r="B27" s="45"/>
      <c r="C27" s="396" t="s">
        <v>103</v>
      </c>
      <c r="D27" s="396"/>
      <c r="E27" s="396"/>
      <c r="F27" s="396"/>
      <c r="G27" s="49"/>
      <c r="H27" s="50"/>
      <c r="I27" s="43"/>
      <c r="J27" s="44"/>
      <c r="K27" s="43"/>
      <c r="L27" s="55"/>
    </row>
    <row r="28" spans="1:12" ht="15">
      <c r="A28" s="39"/>
      <c r="B28" s="45" t="s">
        <v>104</v>
      </c>
      <c r="C28" s="396" t="s">
        <v>105</v>
      </c>
      <c r="D28" s="396"/>
      <c r="E28" s="396"/>
      <c r="F28" s="396"/>
      <c r="G28" s="41" t="s">
        <v>98</v>
      </c>
      <c r="H28" s="42">
        <v>0</v>
      </c>
      <c r="I28" s="43"/>
      <c r="J28" s="44"/>
      <c r="K28" s="43"/>
      <c r="L28" s="55"/>
    </row>
    <row r="29" spans="1:12" ht="15">
      <c r="A29" s="39"/>
      <c r="B29" s="45"/>
      <c r="C29" s="396" t="s">
        <v>325</v>
      </c>
      <c r="D29" s="396"/>
      <c r="E29" s="396"/>
      <c r="F29" s="396"/>
      <c r="G29" s="51"/>
      <c r="H29" s="52"/>
      <c r="I29" s="43"/>
      <c r="J29" s="44"/>
      <c r="K29" s="43"/>
      <c r="L29" s="55"/>
    </row>
    <row r="30" spans="1:12" ht="15">
      <c r="A30" s="39"/>
      <c r="B30" s="45" t="s">
        <v>106</v>
      </c>
      <c r="C30" s="53" t="s">
        <v>24</v>
      </c>
      <c r="D30" s="40"/>
      <c r="E30" s="40"/>
      <c r="F30" s="40"/>
      <c r="G30" s="54" t="s">
        <v>98</v>
      </c>
      <c r="H30" s="55">
        <f>H24</f>
        <v>393298</v>
      </c>
      <c r="I30" s="43"/>
      <c r="J30" s="44"/>
      <c r="K30" s="43" t="s">
        <v>98</v>
      </c>
      <c r="L30" s="97">
        <f>H30</f>
        <v>393298</v>
      </c>
    </row>
    <row r="31" spans="1:12" ht="15">
      <c r="A31" s="39">
        <v>2</v>
      </c>
      <c r="B31" s="395" t="s">
        <v>107</v>
      </c>
      <c r="C31" s="396"/>
      <c r="D31" s="396"/>
      <c r="E31" s="396"/>
      <c r="F31" s="396"/>
      <c r="G31" s="54"/>
      <c r="H31" s="56"/>
      <c r="I31" s="57"/>
      <c r="J31" s="44"/>
      <c r="K31" s="43"/>
      <c r="L31" s="55"/>
    </row>
    <row r="32" spans="1:12" ht="15">
      <c r="A32" s="39"/>
      <c r="B32" s="45" t="s">
        <v>99</v>
      </c>
      <c r="C32" s="46" t="s">
        <v>108</v>
      </c>
      <c r="D32" s="46"/>
      <c r="E32" s="58"/>
      <c r="F32" s="58"/>
      <c r="G32" s="47" t="s">
        <v>98</v>
      </c>
      <c r="H32" s="60">
        <f>tax!H11</f>
        <v>26430</v>
      </c>
      <c r="I32" s="57"/>
      <c r="J32" s="44"/>
      <c r="K32" s="43"/>
      <c r="L32" s="55"/>
    </row>
    <row r="33" spans="1:12" ht="15">
      <c r="A33" s="39"/>
      <c r="B33" s="45" t="s">
        <v>101</v>
      </c>
      <c r="C33" s="396" t="s">
        <v>109</v>
      </c>
      <c r="D33" s="396"/>
      <c r="E33" s="46"/>
      <c r="F33" s="58"/>
      <c r="G33" s="47" t="s">
        <v>98</v>
      </c>
      <c r="H33" s="60">
        <v>0</v>
      </c>
      <c r="I33" s="57"/>
      <c r="J33" s="44"/>
      <c r="K33" s="61" t="s">
        <v>98</v>
      </c>
      <c r="L33" s="98">
        <f>H32</f>
        <v>26430</v>
      </c>
    </row>
    <row r="34" spans="1:12" ht="15">
      <c r="A34" s="39">
        <v>3</v>
      </c>
      <c r="B34" s="397" t="s">
        <v>110</v>
      </c>
      <c r="C34" s="398"/>
      <c r="D34" s="398"/>
      <c r="E34" s="398"/>
      <c r="F34" s="398"/>
      <c r="G34" s="54"/>
      <c r="H34" s="56"/>
      <c r="I34" s="57"/>
      <c r="J34" s="44"/>
      <c r="K34" s="43" t="s">
        <v>98</v>
      </c>
      <c r="L34" s="97">
        <f>L30-L33</f>
        <v>366868</v>
      </c>
    </row>
    <row r="35" spans="1:12" ht="15">
      <c r="A35" s="39">
        <v>4</v>
      </c>
      <c r="B35" s="397" t="s">
        <v>22</v>
      </c>
      <c r="C35" s="398"/>
      <c r="D35" s="398"/>
      <c r="E35" s="398"/>
      <c r="F35" s="398"/>
      <c r="G35" s="54"/>
      <c r="H35" s="56"/>
      <c r="I35" s="57"/>
      <c r="J35" s="44"/>
      <c r="K35" s="43"/>
      <c r="L35" s="55"/>
    </row>
    <row r="36" spans="1:12" ht="15">
      <c r="A36" s="39"/>
      <c r="B36" s="45" t="s">
        <v>99</v>
      </c>
      <c r="C36" s="46" t="s">
        <v>111</v>
      </c>
      <c r="D36" s="46"/>
      <c r="E36" s="58"/>
      <c r="F36" s="58"/>
      <c r="G36" s="47" t="s">
        <v>98</v>
      </c>
      <c r="H36" s="60">
        <v>0</v>
      </c>
      <c r="I36" s="57"/>
      <c r="J36" s="44"/>
      <c r="K36" s="43"/>
      <c r="L36" s="55"/>
    </row>
    <row r="37" spans="1:12" ht="15">
      <c r="A37" s="39"/>
      <c r="B37" s="45" t="s">
        <v>101</v>
      </c>
      <c r="C37" s="46" t="s">
        <v>112</v>
      </c>
      <c r="D37" s="46"/>
      <c r="E37" s="40"/>
      <c r="F37" s="58"/>
      <c r="G37" s="47" t="s">
        <v>98</v>
      </c>
      <c r="H37" s="60">
        <f>tax!F14</f>
        <v>2400</v>
      </c>
      <c r="I37" s="57"/>
      <c r="J37" s="44"/>
      <c r="K37" s="43"/>
      <c r="L37" s="55"/>
    </row>
    <row r="38" spans="1:12" ht="15">
      <c r="A38" s="39">
        <v>5</v>
      </c>
      <c r="B38" s="397" t="s">
        <v>113</v>
      </c>
      <c r="C38" s="398"/>
      <c r="D38" s="398"/>
      <c r="E38" s="398"/>
      <c r="F38" s="398"/>
      <c r="G38" s="54"/>
      <c r="H38" s="55"/>
      <c r="I38" s="43"/>
      <c r="J38" s="44"/>
      <c r="K38" s="61" t="s">
        <v>98</v>
      </c>
      <c r="L38" s="98">
        <f>H37</f>
        <v>2400</v>
      </c>
    </row>
    <row r="39" spans="1:12" ht="15">
      <c r="A39" s="39">
        <v>6</v>
      </c>
      <c r="B39" s="395" t="s">
        <v>114</v>
      </c>
      <c r="C39" s="396"/>
      <c r="D39" s="396"/>
      <c r="E39" s="396"/>
      <c r="F39" s="396"/>
      <c r="G39" s="54"/>
      <c r="H39" s="55"/>
      <c r="I39" s="43"/>
      <c r="J39" s="44"/>
      <c r="K39" s="64" t="s">
        <v>98</v>
      </c>
      <c r="L39" s="99">
        <f>L34-L38</f>
        <v>364468</v>
      </c>
    </row>
    <row r="40" spans="1:12" ht="15">
      <c r="A40" s="39">
        <v>7</v>
      </c>
      <c r="B40" s="395" t="s">
        <v>115</v>
      </c>
      <c r="C40" s="396"/>
      <c r="D40" s="396"/>
      <c r="E40" s="396"/>
      <c r="F40" s="396"/>
      <c r="G40" s="54"/>
      <c r="H40" s="55"/>
      <c r="I40" s="43"/>
      <c r="J40" s="44"/>
      <c r="K40" s="65" t="s">
        <v>98</v>
      </c>
      <c r="L40" s="48">
        <v>0</v>
      </c>
    </row>
    <row r="41" spans="1:12" ht="15">
      <c r="A41" s="39"/>
      <c r="B41" s="395" t="s">
        <v>116</v>
      </c>
      <c r="C41" s="396"/>
      <c r="D41" s="396"/>
      <c r="E41" s="396"/>
      <c r="F41" s="396"/>
      <c r="G41" s="54"/>
      <c r="H41" s="55"/>
      <c r="I41" s="43"/>
      <c r="J41" s="44"/>
      <c r="K41" s="65" t="s">
        <v>98</v>
      </c>
      <c r="L41" s="48">
        <v>0</v>
      </c>
    </row>
    <row r="42" spans="1:12" ht="15">
      <c r="A42" s="39"/>
      <c r="B42" s="395" t="s">
        <v>117</v>
      </c>
      <c r="C42" s="396"/>
      <c r="D42" s="396"/>
      <c r="E42" s="396"/>
      <c r="F42" s="396"/>
      <c r="G42" s="54"/>
      <c r="H42" s="55"/>
      <c r="I42" s="43"/>
      <c r="J42" s="44"/>
      <c r="K42" s="66" t="s">
        <v>98</v>
      </c>
      <c r="L42" s="52">
        <f>tax!F15</f>
        <v>0</v>
      </c>
    </row>
    <row r="43" spans="1:12" ht="16.5">
      <c r="A43" s="39">
        <v>8</v>
      </c>
      <c r="B43" s="397" t="s">
        <v>118</v>
      </c>
      <c r="C43" s="398"/>
      <c r="D43" s="398"/>
      <c r="E43" s="67"/>
      <c r="F43" s="67"/>
      <c r="G43" s="54"/>
      <c r="H43" s="55"/>
      <c r="I43" s="43"/>
      <c r="J43" s="44"/>
      <c r="K43" s="43" t="s">
        <v>98</v>
      </c>
      <c r="L43" s="97">
        <f>L39-L42</f>
        <v>364468</v>
      </c>
    </row>
    <row r="44" spans="1:12" ht="15">
      <c r="A44" s="39">
        <v>9</v>
      </c>
      <c r="B44" s="397" t="s">
        <v>119</v>
      </c>
      <c r="C44" s="398"/>
      <c r="D44" s="398"/>
      <c r="E44" s="398"/>
      <c r="F44" s="398"/>
      <c r="G44" s="54"/>
      <c r="H44" s="68"/>
      <c r="I44" s="43"/>
      <c r="J44" s="44"/>
      <c r="K44" s="43"/>
      <c r="L44" s="55"/>
    </row>
    <row r="45" spans="1:12" ht="15">
      <c r="A45" s="100" t="s">
        <v>120</v>
      </c>
      <c r="B45" s="397" t="s">
        <v>121</v>
      </c>
      <c r="C45" s="398"/>
      <c r="D45" s="398"/>
      <c r="E45" s="63"/>
      <c r="F45" s="38" t="s">
        <v>122</v>
      </c>
      <c r="G45" s="410" t="s">
        <v>123</v>
      </c>
      <c r="H45" s="411"/>
      <c r="I45" s="410" t="s">
        <v>124</v>
      </c>
      <c r="J45" s="411"/>
      <c r="K45" s="40"/>
      <c r="L45" s="55"/>
    </row>
    <row r="46" spans="1:12" ht="15">
      <c r="A46" s="39"/>
      <c r="B46" s="62" t="s">
        <v>99</v>
      </c>
      <c r="C46" s="63" t="s">
        <v>125</v>
      </c>
      <c r="D46" s="69"/>
      <c r="E46" s="69"/>
      <c r="F46" s="38" t="s">
        <v>126</v>
      </c>
      <c r="G46" s="45"/>
      <c r="H46" s="59" t="s">
        <v>126</v>
      </c>
      <c r="I46" s="46"/>
      <c r="J46" s="59" t="s">
        <v>126</v>
      </c>
      <c r="K46" s="40"/>
      <c r="L46" s="55"/>
    </row>
    <row r="47" spans="1:12" ht="15">
      <c r="A47" s="39"/>
      <c r="B47" s="70" t="s">
        <v>80</v>
      </c>
      <c r="C47" s="43" t="s">
        <v>127</v>
      </c>
      <c r="D47" s="43"/>
      <c r="E47" s="71" t="s">
        <v>98</v>
      </c>
      <c r="F47" s="48">
        <f>STATEMENT!M21</f>
        <v>33310</v>
      </c>
      <c r="G47" s="65" t="s">
        <v>98</v>
      </c>
      <c r="H47" s="48">
        <f>STATEMENT!M21</f>
        <v>33310</v>
      </c>
      <c r="I47" s="71" t="s">
        <v>98</v>
      </c>
      <c r="J47" s="48">
        <f aca="true" t="shared" si="0" ref="J47:J53">H47</f>
        <v>33310</v>
      </c>
      <c r="K47" s="43"/>
      <c r="L47" s="55"/>
    </row>
    <row r="48" spans="1:12" ht="15">
      <c r="A48" s="39"/>
      <c r="B48" s="70" t="s">
        <v>128</v>
      </c>
      <c r="C48" s="43" t="s">
        <v>129</v>
      </c>
      <c r="D48" s="43"/>
      <c r="E48" s="71" t="s">
        <v>98</v>
      </c>
      <c r="F48" s="48">
        <f>STATEMENT!P21</f>
        <v>7200</v>
      </c>
      <c r="G48" s="65" t="s">
        <v>98</v>
      </c>
      <c r="H48" s="48">
        <f>STATEMENT!P21</f>
        <v>7200</v>
      </c>
      <c r="I48" s="71" t="s">
        <v>98</v>
      </c>
      <c r="J48" s="48">
        <f t="shared" si="0"/>
        <v>7200</v>
      </c>
      <c r="K48" s="43"/>
      <c r="L48" s="55"/>
    </row>
    <row r="49" spans="1:12" ht="15">
      <c r="A49" s="39"/>
      <c r="B49" s="70" t="s">
        <v>130</v>
      </c>
      <c r="C49" s="43" t="s">
        <v>131</v>
      </c>
      <c r="D49" s="43"/>
      <c r="E49" s="71" t="s">
        <v>98</v>
      </c>
      <c r="F49" s="48">
        <f>STATEMENT!O21</f>
        <v>720</v>
      </c>
      <c r="G49" s="65" t="s">
        <v>98</v>
      </c>
      <c r="H49" s="48">
        <f>STATEMENT!O21</f>
        <v>720</v>
      </c>
      <c r="I49" s="71" t="s">
        <v>98</v>
      </c>
      <c r="J49" s="48">
        <f t="shared" si="0"/>
        <v>720</v>
      </c>
      <c r="K49" s="43"/>
      <c r="L49" s="55"/>
    </row>
    <row r="50" spans="1:12" ht="15">
      <c r="A50" s="39"/>
      <c r="B50" s="70" t="s">
        <v>132</v>
      </c>
      <c r="C50" s="393" t="s">
        <v>409</v>
      </c>
      <c r="D50" s="393"/>
      <c r="E50" s="71" t="s">
        <v>98</v>
      </c>
      <c r="F50" s="48">
        <f>Data!E37</f>
        <v>0</v>
      </c>
      <c r="G50" s="65" t="s">
        <v>98</v>
      </c>
      <c r="H50" s="48">
        <f>tax!F21</f>
        <v>0</v>
      </c>
      <c r="I50" s="71" t="s">
        <v>98</v>
      </c>
      <c r="J50" s="48">
        <f t="shared" si="0"/>
        <v>0</v>
      </c>
      <c r="K50" s="43"/>
      <c r="L50" s="55"/>
    </row>
    <row r="51" spans="1:12" ht="15">
      <c r="A51" s="39"/>
      <c r="B51" s="70" t="s">
        <v>133</v>
      </c>
      <c r="C51" s="393" t="s">
        <v>134</v>
      </c>
      <c r="D51" s="393"/>
      <c r="E51" s="71" t="s">
        <v>98</v>
      </c>
      <c r="F51" s="48">
        <f>tax!F28</f>
        <v>0</v>
      </c>
      <c r="G51" s="65" t="s">
        <v>98</v>
      </c>
      <c r="H51" s="48">
        <f aca="true" t="shared" si="1" ref="H51:H56">F51</f>
        <v>0</v>
      </c>
      <c r="I51" s="71" t="s">
        <v>98</v>
      </c>
      <c r="J51" s="48">
        <f t="shared" si="0"/>
        <v>0</v>
      </c>
      <c r="K51" s="43"/>
      <c r="L51" s="55"/>
    </row>
    <row r="52" spans="1:12" ht="15">
      <c r="A52" s="39"/>
      <c r="B52" s="70" t="s">
        <v>135</v>
      </c>
      <c r="C52" s="43" t="s">
        <v>136</v>
      </c>
      <c r="D52" s="43"/>
      <c r="E52" s="71" t="s">
        <v>98</v>
      </c>
      <c r="F52" s="48">
        <f>Data!E34</f>
        <v>0</v>
      </c>
      <c r="G52" s="65" t="s">
        <v>98</v>
      </c>
      <c r="H52" s="48">
        <f t="shared" si="1"/>
        <v>0</v>
      </c>
      <c r="I52" s="71" t="s">
        <v>98</v>
      </c>
      <c r="J52" s="48">
        <f t="shared" si="0"/>
        <v>0</v>
      </c>
      <c r="K52" s="43"/>
      <c r="L52" s="55"/>
    </row>
    <row r="53" spans="1:12" ht="15">
      <c r="A53" s="39"/>
      <c r="B53" s="70" t="s">
        <v>137</v>
      </c>
      <c r="C53" s="43" t="s">
        <v>15</v>
      </c>
      <c r="D53" s="43"/>
      <c r="E53" s="71" t="s">
        <v>98</v>
      </c>
      <c r="F53" s="48">
        <f>Data!E32</f>
        <v>0</v>
      </c>
      <c r="G53" s="65" t="s">
        <v>98</v>
      </c>
      <c r="H53" s="48">
        <f t="shared" si="1"/>
        <v>0</v>
      </c>
      <c r="I53" s="71" t="s">
        <v>98</v>
      </c>
      <c r="J53" s="48">
        <f t="shared" si="0"/>
        <v>0</v>
      </c>
      <c r="K53" s="43"/>
      <c r="L53" s="55"/>
    </row>
    <row r="54" spans="1:12" ht="15">
      <c r="A54" s="39"/>
      <c r="B54" s="70" t="s">
        <v>138</v>
      </c>
      <c r="C54" s="43" t="s">
        <v>432</v>
      </c>
      <c r="D54" s="43"/>
      <c r="E54" s="71" t="s">
        <v>98</v>
      </c>
      <c r="F54" s="48">
        <f>Data!E38</f>
        <v>0</v>
      </c>
      <c r="G54" s="65" t="s">
        <v>98</v>
      </c>
      <c r="H54" s="48">
        <f t="shared" si="1"/>
        <v>0</v>
      </c>
      <c r="I54" s="71" t="s">
        <v>98</v>
      </c>
      <c r="J54" s="48">
        <f>H54</f>
        <v>0</v>
      </c>
      <c r="K54" s="57"/>
      <c r="L54" s="55"/>
    </row>
    <row r="55" spans="1:12" ht="15">
      <c r="A55" s="39"/>
      <c r="B55" s="70" t="s">
        <v>139</v>
      </c>
      <c r="C55" s="43" t="s">
        <v>140</v>
      </c>
      <c r="D55" s="43"/>
      <c r="E55" s="72" t="s">
        <v>98</v>
      </c>
      <c r="F55" s="48">
        <f>Data!E40</f>
        <v>0</v>
      </c>
      <c r="G55" s="73" t="s">
        <v>98</v>
      </c>
      <c r="H55" s="50">
        <f t="shared" si="1"/>
        <v>0</v>
      </c>
      <c r="I55" s="72" t="s">
        <v>98</v>
      </c>
      <c r="J55" s="50">
        <f>H55</f>
        <v>0</v>
      </c>
      <c r="K55" s="57"/>
      <c r="L55" s="55"/>
    </row>
    <row r="56" spans="1:12" ht="15">
      <c r="A56" s="39"/>
      <c r="B56" s="70" t="s">
        <v>141</v>
      </c>
      <c r="C56" s="43" t="s">
        <v>142</v>
      </c>
      <c r="D56" s="43"/>
      <c r="E56" s="43" t="s">
        <v>98</v>
      </c>
      <c r="F56" s="48">
        <f>Data!E44</f>
        <v>0</v>
      </c>
      <c r="G56" s="57" t="s">
        <v>98</v>
      </c>
      <c r="H56" s="56">
        <f t="shared" si="1"/>
        <v>0</v>
      </c>
      <c r="I56" s="57" t="s">
        <v>98</v>
      </c>
      <c r="J56" s="56">
        <f>H56</f>
        <v>0</v>
      </c>
      <c r="K56" s="57"/>
      <c r="L56" s="55"/>
    </row>
    <row r="57" spans="1:12" ht="15">
      <c r="A57" s="39"/>
      <c r="B57" s="70" t="s">
        <v>143</v>
      </c>
      <c r="C57" s="43" t="s">
        <v>379</v>
      </c>
      <c r="D57" s="43"/>
      <c r="E57" s="43" t="s">
        <v>98</v>
      </c>
      <c r="F57" s="56">
        <f>Data!E39</f>
        <v>0</v>
      </c>
      <c r="G57" s="57" t="s">
        <v>98</v>
      </c>
      <c r="H57" s="56">
        <f>F57</f>
        <v>0</v>
      </c>
      <c r="I57" s="57" t="s">
        <v>98</v>
      </c>
      <c r="J57" s="56">
        <f>H57</f>
        <v>0</v>
      </c>
      <c r="K57" s="57"/>
      <c r="L57" s="55"/>
    </row>
    <row r="58" spans="1:13" ht="15">
      <c r="A58" s="39"/>
      <c r="B58" s="57"/>
      <c r="C58" s="43" t="s">
        <v>144</v>
      </c>
      <c r="D58" s="43"/>
      <c r="E58" s="43"/>
      <c r="F58" s="97">
        <f>J47+J48+J49+J50+J51+J52+J53+J54+J55+J56+J57</f>
        <v>41230</v>
      </c>
      <c r="G58" s="180"/>
      <c r="H58" s="181">
        <f>IF(F58&gt;100000,100000,F58)</f>
        <v>41230</v>
      </c>
      <c r="I58" s="180"/>
      <c r="J58" s="181">
        <f>H58</f>
        <v>41230</v>
      </c>
      <c r="K58" s="184" t="s">
        <v>98</v>
      </c>
      <c r="M58" s="163"/>
    </row>
    <row r="59" spans="1:12" ht="20.25" customHeight="1">
      <c r="A59" s="39"/>
      <c r="B59" s="74" t="s">
        <v>101</v>
      </c>
      <c r="C59" s="394" t="s">
        <v>145</v>
      </c>
      <c r="D59" s="394"/>
      <c r="E59" s="394"/>
      <c r="F59" s="394"/>
      <c r="G59" s="57"/>
      <c r="H59" s="182"/>
      <c r="I59" s="183"/>
      <c r="J59" s="182"/>
      <c r="K59" s="57"/>
      <c r="L59" s="55"/>
    </row>
    <row r="60" spans="1:12" ht="28.5" customHeight="1">
      <c r="A60" s="39"/>
      <c r="B60" s="75" t="s">
        <v>80</v>
      </c>
      <c r="C60" s="392" t="s">
        <v>146</v>
      </c>
      <c r="D60" s="392"/>
      <c r="E60" s="71" t="s">
        <v>98</v>
      </c>
      <c r="F60" s="60"/>
      <c r="G60" s="65" t="s">
        <v>98</v>
      </c>
      <c r="H60" s="48">
        <v>0</v>
      </c>
      <c r="I60" s="71" t="s">
        <v>98</v>
      </c>
      <c r="J60" s="60">
        <v>0</v>
      </c>
      <c r="K60" s="185" t="s">
        <v>98</v>
      </c>
      <c r="L60" s="101">
        <v>0</v>
      </c>
    </row>
    <row r="61" spans="1:12" ht="15">
      <c r="A61" s="39"/>
      <c r="B61" s="74" t="s">
        <v>104</v>
      </c>
      <c r="C61" s="76" t="s">
        <v>147</v>
      </c>
      <c r="D61" s="43"/>
      <c r="E61" s="43"/>
      <c r="F61" s="56"/>
      <c r="G61" s="57"/>
      <c r="H61" s="55"/>
      <c r="I61" s="43"/>
      <c r="J61" s="55"/>
      <c r="K61" s="43"/>
      <c r="L61" s="55"/>
    </row>
    <row r="62" spans="1:12" ht="15">
      <c r="A62" s="39"/>
      <c r="B62" s="75" t="s">
        <v>80</v>
      </c>
      <c r="C62" s="393" t="s">
        <v>148</v>
      </c>
      <c r="D62" s="393"/>
      <c r="E62" s="71" t="s">
        <v>98</v>
      </c>
      <c r="F62" s="60">
        <v>0</v>
      </c>
      <c r="G62" s="65" t="s">
        <v>98</v>
      </c>
      <c r="H62" s="48">
        <v>0</v>
      </c>
      <c r="I62" s="71" t="s">
        <v>98</v>
      </c>
      <c r="J62" s="48">
        <v>0</v>
      </c>
      <c r="K62" s="77" t="s">
        <v>98</v>
      </c>
      <c r="L62" s="102">
        <v>0</v>
      </c>
    </row>
    <row r="63" spans="1:12" ht="16.5">
      <c r="A63" s="39"/>
      <c r="B63" s="399" t="s">
        <v>149</v>
      </c>
      <c r="C63" s="400"/>
      <c r="D63" s="400"/>
      <c r="E63" s="400"/>
      <c r="F63" s="400"/>
      <c r="G63" s="400"/>
      <c r="H63" s="400"/>
      <c r="I63" s="400"/>
      <c r="J63" s="401"/>
      <c r="K63" s="78" t="s">
        <v>98</v>
      </c>
      <c r="L63" s="103">
        <f>J58</f>
        <v>41230</v>
      </c>
    </row>
    <row r="64" spans="1:12" ht="15">
      <c r="A64" s="104"/>
      <c r="B64" s="79"/>
      <c r="C64" s="80"/>
      <c r="D64" s="80"/>
      <c r="E64" s="80"/>
      <c r="F64" s="80"/>
      <c r="G64" s="81"/>
      <c r="H64" s="81"/>
      <c r="I64" s="81"/>
      <c r="J64" s="82"/>
      <c r="K64" s="83"/>
      <c r="L64" s="105"/>
    </row>
    <row r="65" spans="1:12" ht="15.75">
      <c r="A65" s="402" t="s">
        <v>150</v>
      </c>
      <c r="B65" s="403"/>
      <c r="C65" s="404" t="s">
        <v>151</v>
      </c>
      <c r="D65" s="404"/>
      <c r="E65" s="404"/>
      <c r="F65" s="404"/>
      <c r="G65" s="404"/>
      <c r="H65" s="404"/>
      <c r="I65" s="404"/>
      <c r="J65" s="404"/>
      <c r="K65" s="404"/>
      <c r="L65" s="405"/>
    </row>
    <row r="66" spans="1:12" ht="15.75">
      <c r="A66" s="406"/>
      <c r="B66" s="407"/>
      <c r="C66" s="408" t="s">
        <v>152</v>
      </c>
      <c r="D66" s="408"/>
      <c r="E66" s="408"/>
      <c r="F66" s="408"/>
      <c r="G66" s="408"/>
      <c r="H66" s="408"/>
      <c r="I66" s="408"/>
      <c r="J66" s="408"/>
      <c r="K66" s="408"/>
      <c r="L66" s="409"/>
    </row>
  </sheetData>
  <sheetProtection/>
  <protectedRanges>
    <protectedRange sqref="A2:D4 A5:C5 A6:D66 G2:L9 L59:L66 G11:J15 G16:I16 E2:F66 L11:L57 K11:K66 G17:J66" name="Range1"/>
  </protectedRanges>
  <mergeCells count="79">
    <mergeCell ref="A2:L3"/>
    <mergeCell ref="A4:F4"/>
    <mergeCell ref="G4:L4"/>
    <mergeCell ref="A6:F6"/>
    <mergeCell ref="G6:L6"/>
    <mergeCell ref="A7:F7"/>
    <mergeCell ref="E17:H17"/>
    <mergeCell ref="I17:L17"/>
    <mergeCell ref="E19:H19"/>
    <mergeCell ref="I19:L19"/>
    <mergeCell ref="A9:D9"/>
    <mergeCell ref="E9:F9"/>
    <mergeCell ref="C12:F12"/>
    <mergeCell ref="C13:F13"/>
    <mergeCell ref="G10:L10"/>
    <mergeCell ref="K12:L12"/>
    <mergeCell ref="B24:D24"/>
    <mergeCell ref="C25:F25"/>
    <mergeCell ref="C26:F26"/>
    <mergeCell ref="C27:F27"/>
    <mergeCell ref="C28:F28"/>
    <mergeCell ref="G7:L7"/>
    <mergeCell ref="A23:L23"/>
    <mergeCell ref="A17:C17"/>
    <mergeCell ref="A20:C20"/>
    <mergeCell ref="A18:C18"/>
    <mergeCell ref="C29:F29"/>
    <mergeCell ref="B31:F31"/>
    <mergeCell ref="C33:D33"/>
    <mergeCell ref="B34:F34"/>
    <mergeCell ref="B35:F35"/>
    <mergeCell ref="B38:F38"/>
    <mergeCell ref="B39:F39"/>
    <mergeCell ref="B63:J63"/>
    <mergeCell ref="A65:B65"/>
    <mergeCell ref="C65:L65"/>
    <mergeCell ref="A66:B66"/>
    <mergeCell ref="C66:L66"/>
    <mergeCell ref="G45:H45"/>
    <mergeCell ref="I45:J45"/>
    <mergeCell ref="C50:D50"/>
    <mergeCell ref="C51:D51"/>
    <mergeCell ref="C60:D60"/>
    <mergeCell ref="C62:D62"/>
    <mergeCell ref="C59:F59"/>
    <mergeCell ref="B40:F40"/>
    <mergeCell ref="B41:F41"/>
    <mergeCell ref="B42:F42"/>
    <mergeCell ref="B43:D43"/>
    <mergeCell ref="B44:F44"/>
    <mergeCell ref="B45:D45"/>
    <mergeCell ref="E21:H21"/>
    <mergeCell ref="A1:L1"/>
    <mergeCell ref="G5:L5"/>
    <mergeCell ref="A5:F5"/>
    <mergeCell ref="G12:I14"/>
    <mergeCell ref="G11:I11"/>
    <mergeCell ref="J11:L11"/>
    <mergeCell ref="A8:F8"/>
    <mergeCell ref="G8:L8"/>
    <mergeCell ref="G9:L9"/>
    <mergeCell ref="A10:D10"/>
    <mergeCell ref="E10:F10"/>
    <mergeCell ref="J13:J14"/>
    <mergeCell ref="A11:F11"/>
    <mergeCell ref="A12:B12"/>
    <mergeCell ref="E16:H16"/>
    <mergeCell ref="I16:L16"/>
    <mergeCell ref="K13:L14"/>
    <mergeCell ref="I21:L21"/>
    <mergeCell ref="A15:L15"/>
    <mergeCell ref="A16:C16"/>
    <mergeCell ref="A22:L22"/>
    <mergeCell ref="E18:H18"/>
    <mergeCell ref="I18:L18"/>
    <mergeCell ref="E20:H20"/>
    <mergeCell ref="A19:C19"/>
    <mergeCell ref="A21:C21"/>
    <mergeCell ref="I20:L20"/>
  </mergeCells>
  <printOptions horizontalCentered="1"/>
  <pageMargins left="0.354330708661417" right="0.354330708661417" top="0.354330708661417" bottom="0.354330708661417" header="0.31496062992126" footer="0.31496062992126"/>
  <pageSetup fitToHeight="1" fitToWidth="1" horizontalDpi="300" verticalDpi="300" orientation="portrait" paperSize="5" scale="88"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X61"/>
  <sheetViews>
    <sheetView showZeros="0" zoomScalePageLayoutView="0" workbookViewId="0" topLeftCell="A13">
      <selection activeCell="Y42" sqref="Y42"/>
    </sheetView>
  </sheetViews>
  <sheetFormatPr defaultColWidth="9.140625" defaultRowHeight="12.75"/>
  <cols>
    <col min="1" max="1" width="7.421875" style="37" customWidth="1"/>
    <col min="2" max="2" width="7.28125" style="37" customWidth="1"/>
    <col min="3" max="3" width="7.57421875" style="37" customWidth="1"/>
    <col min="4" max="5" width="9.140625" style="37" customWidth="1"/>
    <col min="6" max="6" width="8.421875" style="37" customWidth="1"/>
    <col min="7" max="7" width="3.57421875" style="37" customWidth="1"/>
    <col min="8" max="8" width="6.8515625" style="37" customWidth="1"/>
    <col min="9" max="9" width="8.8515625" style="37" customWidth="1"/>
    <col min="10" max="10" width="10.7109375" style="37" customWidth="1"/>
    <col min="11" max="11" width="3.57421875" style="37" customWidth="1"/>
    <col min="12" max="12" width="11.140625" style="37" customWidth="1"/>
    <col min="13" max="13" width="9.140625" style="37" customWidth="1"/>
    <col min="14" max="16" width="9.140625" style="37" hidden="1" customWidth="1"/>
    <col min="17" max="17" width="29.28125" style="37" hidden="1" customWidth="1"/>
    <col min="18" max="19" width="9.140625" style="37" hidden="1" customWidth="1"/>
    <col min="20" max="20" width="9.140625" style="37" customWidth="1"/>
    <col min="21" max="24" width="9.140625" style="37" hidden="1" customWidth="1"/>
    <col min="25" max="16384" width="9.140625" style="37" customWidth="1"/>
  </cols>
  <sheetData>
    <row r="1" spans="1:12" ht="16.5">
      <c r="A1" s="245" t="s">
        <v>153</v>
      </c>
      <c r="B1" s="459" t="s">
        <v>154</v>
      </c>
      <c r="C1" s="459"/>
      <c r="D1" s="459"/>
      <c r="E1" s="459"/>
      <c r="F1" s="459"/>
      <c r="G1" s="460" t="s">
        <v>122</v>
      </c>
      <c r="H1" s="460"/>
      <c r="I1" s="114" t="s">
        <v>123</v>
      </c>
      <c r="J1" s="114" t="s">
        <v>124</v>
      </c>
      <c r="K1" s="115"/>
      <c r="L1" s="116"/>
    </row>
    <row r="2" spans="1:12" ht="16.5">
      <c r="A2" s="246"/>
      <c r="B2" s="461" t="s">
        <v>155</v>
      </c>
      <c r="C2" s="461"/>
      <c r="D2" s="461"/>
      <c r="E2" s="461"/>
      <c r="F2" s="461"/>
      <c r="G2" s="462" t="s">
        <v>126</v>
      </c>
      <c r="H2" s="462"/>
      <c r="I2" s="84" t="s">
        <v>126</v>
      </c>
      <c r="J2" s="84" t="s">
        <v>126</v>
      </c>
      <c r="K2" s="85"/>
      <c r="L2" s="118"/>
    </row>
    <row r="3" spans="1:12" ht="16.5">
      <c r="A3" s="119"/>
      <c r="B3" s="458" t="s">
        <v>156</v>
      </c>
      <c r="C3" s="458"/>
      <c r="D3" s="458"/>
      <c r="E3" s="458"/>
      <c r="F3" s="458"/>
      <c r="G3" s="88" t="str">
        <f>IF(H3&gt;0,"Rs",0)</f>
        <v>Rs</v>
      </c>
      <c r="H3" s="113">
        <f>STATEMENT!S21</f>
        <v>40</v>
      </c>
      <c r="I3" s="113">
        <f>H3</f>
        <v>40</v>
      </c>
      <c r="J3" s="113">
        <f>I3</f>
        <v>40</v>
      </c>
      <c r="K3" s="85"/>
      <c r="L3" s="118"/>
    </row>
    <row r="4" spans="1:12" ht="16.5">
      <c r="A4" s="119"/>
      <c r="B4" s="458" t="s">
        <v>157</v>
      </c>
      <c r="C4" s="458"/>
      <c r="D4" s="458"/>
      <c r="E4" s="458"/>
      <c r="F4" s="458"/>
      <c r="G4" s="88">
        <f aca="true" t="shared" si="0" ref="G4:G11">IF(H4&gt;0,"Rs",0)</f>
        <v>0</v>
      </c>
      <c r="H4" s="88">
        <f>tax!F32</f>
        <v>0</v>
      </c>
      <c r="I4" s="113">
        <v>0</v>
      </c>
      <c r="J4" s="113">
        <v>0</v>
      </c>
      <c r="K4" s="85"/>
      <c r="L4" s="118"/>
    </row>
    <row r="5" spans="1:12" ht="16.5">
      <c r="A5" s="119"/>
      <c r="B5" s="458" t="s">
        <v>158</v>
      </c>
      <c r="C5" s="458"/>
      <c r="D5" s="458"/>
      <c r="E5" s="458"/>
      <c r="F5" s="458"/>
      <c r="G5" s="88">
        <f t="shared" si="0"/>
        <v>0</v>
      </c>
      <c r="H5" s="88">
        <f>tax!F30</f>
        <v>0</v>
      </c>
      <c r="I5" s="113">
        <v>0</v>
      </c>
      <c r="J5" s="113">
        <v>0</v>
      </c>
      <c r="K5" s="85"/>
      <c r="L5" s="118"/>
    </row>
    <row r="6" spans="1:12" ht="16.5">
      <c r="A6" s="119"/>
      <c r="B6" s="458" t="s">
        <v>341</v>
      </c>
      <c r="C6" s="458"/>
      <c r="D6" s="458"/>
      <c r="E6" s="458"/>
      <c r="F6" s="458"/>
      <c r="G6" s="88">
        <f t="shared" si="0"/>
        <v>0</v>
      </c>
      <c r="H6" s="179">
        <f>tax!F39</f>
        <v>0</v>
      </c>
      <c r="I6" s="113">
        <f>H6</f>
        <v>0</v>
      </c>
      <c r="J6" s="113">
        <f>I6</f>
        <v>0</v>
      </c>
      <c r="K6" s="85"/>
      <c r="L6" s="118"/>
    </row>
    <row r="7" spans="1:12" ht="16.5">
      <c r="A7" s="119"/>
      <c r="B7" s="458" t="s">
        <v>159</v>
      </c>
      <c r="C7" s="458"/>
      <c r="D7" s="458"/>
      <c r="E7" s="458"/>
      <c r="F7" s="458"/>
      <c r="G7" s="88">
        <f t="shared" si="0"/>
        <v>0</v>
      </c>
      <c r="H7" s="179">
        <f>tax!F41</f>
        <v>0</v>
      </c>
      <c r="I7" s="113">
        <f aca="true" t="shared" si="1" ref="I7:J11">H7</f>
        <v>0</v>
      </c>
      <c r="J7" s="113">
        <f t="shared" si="1"/>
        <v>0</v>
      </c>
      <c r="K7" s="85"/>
      <c r="L7" s="118"/>
    </row>
    <row r="8" spans="1:12" ht="16.5">
      <c r="A8" s="119"/>
      <c r="B8" s="238" t="s">
        <v>388</v>
      </c>
      <c r="C8" s="238"/>
      <c r="D8" s="238"/>
      <c r="E8" s="238"/>
      <c r="F8" s="238"/>
      <c r="G8" s="88">
        <f t="shared" si="0"/>
        <v>0</v>
      </c>
      <c r="H8" s="179">
        <f>Data!E36</f>
        <v>0</v>
      </c>
      <c r="I8" s="113">
        <f>H8</f>
        <v>0</v>
      </c>
      <c r="J8" s="113">
        <f>I8</f>
        <v>0</v>
      </c>
      <c r="K8" s="85"/>
      <c r="L8" s="118"/>
    </row>
    <row r="9" spans="1:12" ht="16.5">
      <c r="A9" s="119"/>
      <c r="B9" s="458" t="s">
        <v>46</v>
      </c>
      <c r="C9" s="458"/>
      <c r="D9" s="458"/>
      <c r="E9" s="458"/>
      <c r="F9" s="458"/>
      <c r="G9" s="88" t="str">
        <f t="shared" si="0"/>
        <v>Rs</v>
      </c>
      <c r="H9" s="88">
        <f>STATEMENT!U21</f>
        <v>283</v>
      </c>
      <c r="I9" s="113">
        <f>H9</f>
        <v>283</v>
      </c>
      <c r="J9" s="113">
        <f>I9</f>
        <v>283</v>
      </c>
      <c r="K9" s="85"/>
      <c r="L9" s="118"/>
    </row>
    <row r="10" spans="1:12" ht="16.5">
      <c r="A10" s="119"/>
      <c r="B10" s="458" t="s">
        <v>160</v>
      </c>
      <c r="C10" s="458"/>
      <c r="D10" s="458"/>
      <c r="E10" s="458"/>
      <c r="F10" s="458"/>
      <c r="G10" s="88">
        <f t="shared" si="0"/>
        <v>0</v>
      </c>
      <c r="H10" s="88">
        <f>tax!F31</f>
        <v>0</v>
      </c>
      <c r="I10" s="113">
        <f t="shared" si="1"/>
        <v>0</v>
      </c>
      <c r="J10" s="113">
        <f t="shared" si="1"/>
        <v>0</v>
      </c>
      <c r="K10" s="85"/>
      <c r="L10" s="118"/>
    </row>
    <row r="11" spans="1:12" ht="16.5">
      <c r="A11" s="119"/>
      <c r="B11" s="458" t="s">
        <v>161</v>
      </c>
      <c r="C11" s="458"/>
      <c r="D11" s="458"/>
      <c r="E11" s="458"/>
      <c r="F11" s="458"/>
      <c r="G11" s="88">
        <f t="shared" si="0"/>
        <v>0</v>
      </c>
      <c r="H11" s="88">
        <f>Data!E50</f>
        <v>0</v>
      </c>
      <c r="I11" s="113">
        <f t="shared" si="1"/>
        <v>0</v>
      </c>
      <c r="J11" s="113">
        <f t="shared" si="1"/>
        <v>0</v>
      </c>
      <c r="K11" s="85"/>
      <c r="L11" s="118"/>
    </row>
    <row r="12" spans="1:12" ht="16.5">
      <c r="A12" s="117"/>
      <c r="B12" s="86"/>
      <c r="C12" s="86"/>
      <c r="D12" s="86"/>
      <c r="E12" s="145" t="s">
        <v>162</v>
      </c>
      <c r="F12" s="87"/>
      <c r="G12" s="87"/>
      <c r="H12" s="87"/>
      <c r="I12" s="87"/>
      <c r="J12" s="87"/>
      <c r="K12" s="93" t="str">
        <f>IF(L12&gt;0,"Rs",0)</f>
        <v>Rs</v>
      </c>
      <c r="L12" s="120">
        <f>J3+J4+J5+J6+J7+J8+J9+J10+J11</f>
        <v>323</v>
      </c>
    </row>
    <row r="13" spans="1:12" ht="15.75">
      <c r="A13" s="163"/>
      <c r="B13" s="457" t="s">
        <v>307</v>
      </c>
      <c r="C13" s="457"/>
      <c r="D13" s="457"/>
      <c r="E13" s="457"/>
      <c r="F13" s="457"/>
      <c r="G13" s="457"/>
      <c r="H13" s="457"/>
      <c r="I13" s="85"/>
      <c r="J13" s="85"/>
      <c r="K13" s="93" t="str">
        <f aca="true" t="shared" si="2" ref="K13:K26">IF(L13&gt;0,"Rs",0)</f>
        <v>Rs</v>
      </c>
      <c r="L13" s="121">
        <f>'Form 16 page-1'!L63+'Form 16 page-2'!L12</f>
        <v>41553</v>
      </c>
    </row>
    <row r="14" spans="1:12" ht="16.5">
      <c r="A14" s="246">
        <v>10</v>
      </c>
      <c r="B14" s="146" t="s">
        <v>329</v>
      </c>
      <c r="C14" s="85"/>
      <c r="D14" s="85"/>
      <c r="E14" s="85"/>
      <c r="F14" s="85"/>
      <c r="G14" s="85"/>
      <c r="H14" s="85"/>
      <c r="I14" s="85"/>
      <c r="J14" s="85"/>
      <c r="K14" s="93">
        <f t="shared" si="2"/>
        <v>0</v>
      </c>
      <c r="L14" s="122"/>
    </row>
    <row r="15" spans="1:12" ht="16.5">
      <c r="A15" s="246">
        <v>11</v>
      </c>
      <c r="B15" s="456" t="s">
        <v>163</v>
      </c>
      <c r="C15" s="456"/>
      <c r="D15" s="456"/>
      <c r="E15" s="456"/>
      <c r="F15" s="456"/>
      <c r="G15" s="456"/>
      <c r="H15" s="456"/>
      <c r="I15" s="85"/>
      <c r="J15" s="85"/>
      <c r="K15" s="93" t="str">
        <f t="shared" si="2"/>
        <v>Rs</v>
      </c>
      <c r="L15" s="123">
        <f>tax!H46</f>
        <v>322915</v>
      </c>
    </row>
    <row r="16" spans="1:12" ht="16.5">
      <c r="A16" s="246">
        <v>12</v>
      </c>
      <c r="B16" s="456" t="s">
        <v>164</v>
      </c>
      <c r="C16" s="456"/>
      <c r="D16" s="456"/>
      <c r="E16" s="456"/>
      <c r="F16" s="456"/>
      <c r="G16" s="456"/>
      <c r="H16" s="456"/>
      <c r="I16" s="85"/>
      <c r="J16" s="85"/>
      <c r="K16" s="93" t="str">
        <f t="shared" si="2"/>
        <v>Rs</v>
      </c>
      <c r="L16" s="122">
        <f>tax!H52</f>
        <v>12292</v>
      </c>
    </row>
    <row r="17" spans="1:12" ht="16.5">
      <c r="A17" s="246">
        <v>13</v>
      </c>
      <c r="B17" s="431" t="s">
        <v>165</v>
      </c>
      <c r="C17" s="431"/>
      <c r="D17" s="431"/>
      <c r="E17" s="431"/>
      <c r="F17" s="431"/>
      <c r="G17" s="431"/>
      <c r="H17" s="431"/>
      <c r="I17" s="85"/>
      <c r="J17" s="85"/>
      <c r="K17" s="93" t="str">
        <f t="shared" si="2"/>
        <v>Rs</v>
      </c>
      <c r="L17" s="122">
        <f>tax!H55</f>
        <v>103</v>
      </c>
    </row>
    <row r="18" spans="1:12" ht="16.5">
      <c r="A18" s="246">
        <v>14</v>
      </c>
      <c r="B18" s="431" t="s">
        <v>166</v>
      </c>
      <c r="C18" s="431"/>
      <c r="D18" s="431"/>
      <c r="E18" s="431"/>
      <c r="F18" s="431"/>
      <c r="G18" s="431"/>
      <c r="H18" s="431"/>
      <c r="I18" s="85"/>
      <c r="J18" s="85"/>
      <c r="K18" s="93" t="str">
        <f t="shared" si="2"/>
        <v>Rs</v>
      </c>
      <c r="L18" s="122">
        <f>tax!H54</f>
        <v>206</v>
      </c>
    </row>
    <row r="19" spans="1:12" ht="16.5">
      <c r="A19" s="246">
        <v>15</v>
      </c>
      <c r="B19" s="456" t="s">
        <v>398</v>
      </c>
      <c r="C19" s="456"/>
      <c r="D19" s="456"/>
      <c r="E19" s="456"/>
      <c r="F19" s="456"/>
      <c r="G19" s="456"/>
      <c r="H19" s="456"/>
      <c r="I19" s="85"/>
      <c r="J19" s="85"/>
      <c r="K19" s="93" t="str">
        <f t="shared" si="2"/>
        <v>Rs</v>
      </c>
      <c r="L19" s="121">
        <f>tax!H56</f>
        <v>10601</v>
      </c>
    </row>
    <row r="20" spans="1:12" ht="16.5">
      <c r="A20" s="246"/>
      <c r="B20" s="244"/>
      <c r="C20" s="244"/>
      <c r="D20" s="244"/>
      <c r="E20" s="244"/>
      <c r="F20" s="244"/>
      <c r="G20" s="244"/>
      <c r="H20" s="244"/>
      <c r="I20" s="85"/>
      <c r="J20" s="233" t="s">
        <v>407</v>
      </c>
      <c r="K20" s="93" t="str">
        <f t="shared" si="2"/>
        <v>Rs</v>
      </c>
      <c r="L20" s="250">
        <f>tax!H57</f>
        <v>10600</v>
      </c>
    </row>
    <row r="21" spans="1:12" ht="16.5">
      <c r="A21" s="246">
        <v>16</v>
      </c>
      <c r="B21" s="431" t="s">
        <v>167</v>
      </c>
      <c r="C21" s="431"/>
      <c r="D21" s="431"/>
      <c r="E21" s="431"/>
      <c r="F21" s="431"/>
      <c r="G21" s="431"/>
      <c r="H21" s="431"/>
      <c r="I21" s="85"/>
      <c r="J21" s="85"/>
      <c r="K21" s="93">
        <f t="shared" si="2"/>
        <v>0</v>
      </c>
      <c r="L21" s="122">
        <v>0</v>
      </c>
    </row>
    <row r="22" spans="1:12" ht="16.5">
      <c r="A22" s="246">
        <v>17</v>
      </c>
      <c r="B22" s="456" t="s">
        <v>399</v>
      </c>
      <c r="C22" s="456"/>
      <c r="D22" s="456"/>
      <c r="E22" s="456"/>
      <c r="F22" s="456"/>
      <c r="G22" s="456"/>
      <c r="H22" s="456"/>
      <c r="I22" s="85"/>
      <c r="J22" s="85"/>
      <c r="K22" s="93" t="str">
        <f t="shared" si="2"/>
        <v>Rs</v>
      </c>
      <c r="L22" s="121">
        <f>L20-L21</f>
        <v>10600</v>
      </c>
    </row>
    <row r="23" spans="1:12" ht="16.5">
      <c r="A23" s="246">
        <v>18</v>
      </c>
      <c r="B23" s="431" t="s">
        <v>411</v>
      </c>
      <c r="C23" s="431"/>
      <c r="D23" s="431"/>
      <c r="E23" s="431"/>
      <c r="F23" s="431"/>
      <c r="G23" s="431"/>
      <c r="H23" s="431"/>
      <c r="I23" s="85"/>
      <c r="J23" s="85"/>
      <c r="K23" s="93">
        <f t="shared" si="2"/>
        <v>0</v>
      </c>
      <c r="L23" s="122">
        <f>STATEMENT!T21</f>
        <v>0</v>
      </c>
    </row>
    <row r="24" spans="1:12" ht="16.5">
      <c r="A24" s="246"/>
      <c r="B24" s="89" t="s">
        <v>375</v>
      </c>
      <c r="C24" s="90"/>
      <c r="D24" s="90"/>
      <c r="E24" s="90"/>
      <c r="F24" s="90"/>
      <c r="G24" s="90"/>
      <c r="H24" s="90"/>
      <c r="I24" s="85"/>
      <c r="J24" s="85"/>
      <c r="K24" s="93">
        <f t="shared" si="2"/>
        <v>0</v>
      </c>
      <c r="L24" s="122"/>
    </row>
    <row r="25" spans="1:12" ht="16.5">
      <c r="A25" s="246"/>
      <c r="B25" s="448" t="s">
        <v>168</v>
      </c>
      <c r="C25" s="448"/>
      <c r="D25" s="448"/>
      <c r="E25" s="448"/>
      <c r="F25" s="448"/>
      <c r="G25" s="448"/>
      <c r="H25" s="448"/>
      <c r="I25" s="85"/>
      <c r="J25" s="85"/>
      <c r="K25" s="93">
        <f t="shared" si="2"/>
        <v>0</v>
      </c>
      <c r="L25" s="122">
        <v>0</v>
      </c>
    </row>
    <row r="26" spans="1:18" ht="16.5">
      <c r="A26" s="247">
        <v>19</v>
      </c>
      <c r="B26" s="248" t="str">
        <f>IF(L26&lt;0,O27,N27)</f>
        <v>TAX PAYABLE /</v>
      </c>
      <c r="C26" s="248"/>
      <c r="D26" s="248"/>
      <c r="E26" s="93" t="str">
        <f>IF(L26&lt;0,O28,N28)</f>
        <v> (17-18)</v>
      </c>
      <c r="F26" s="248"/>
      <c r="G26" s="91"/>
      <c r="H26" s="249"/>
      <c r="I26" s="92"/>
      <c r="J26" s="92"/>
      <c r="K26" s="93" t="str">
        <f t="shared" si="2"/>
        <v>Rs</v>
      </c>
      <c r="L26" s="120">
        <f>L22-L23</f>
        <v>10600</v>
      </c>
      <c r="R26" s="220"/>
    </row>
    <row r="27" spans="1:19" ht="15">
      <c r="A27" s="124"/>
      <c r="B27" s="85"/>
      <c r="C27" s="85"/>
      <c r="D27" s="85"/>
      <c r="E27" s="85"/>
      <c r="F27" s="85"/>
      <c r="G27" s="85"/>
      <c r="H27" s="85"/>
      <c r="I27" s="85"/>
      <c r="J27" s="233"/>
      <c r="K27" s="93"/>
      <c r="L27" s="234"/>
      <c r="N27" s="37" t="s">
        <v>397</v>
      </c>
      <c r="O27" s="37" t="s">
        <v>400</v>
      </c>
      <c r="S27" s="220"/>
    </row>
    <row r="28" spans="1:15" ht="15">
      <c r="A28" s="124"/>
      <c r="B28" s="85"/>
      <c r="C28" s="85"/>
      <c r="D28" s="85"/>
      <c r="E28" s="85"/>
      <c r="F28" s="85"/>
      <c r="G28" s="85"/>
      <c r="H28" s="85"/>
      <c r="I28" s="85"/>
      <c r="J28" s="85"/>
      <c r="K28" s="85"/>
      <c r="L28" s="125"/>
      <c r="N28" s="37" t="s">
        <v>396</v>
      </c>
      <c r="O28" s="37" t="s">
        <v>401</v>
      </c>
    </row>
    <row r="29" spans="1:12" ht="15">
      <c r="A29" s="444" t="s">
        <v>169</v>
      </c>
      <c r="B29" s="445"/>
      <c r="C29" s="445"/>
      <c r="D29" s="445"/>
      <c r="E29" s="445"/>
      <c r="F29" s="445"/>
      <c r="G29" s="445"/>
      <c r="H29" s="445"/>
      <c r="I29" s="445"/>
      <c r="J29" s="445"/>
      <c r="K29" s="445"/>
      <c r="L29" s="446"/>
    </row>
    <row r="30" spans="1:12" ht="15">
      <c r="A30" s="447" t="s">
        <v>170</v>
      </c>
      <c r="B30" s="448"/>
      <c r="C30" s="448"/>
      <c r="D30" s="448"/>
      <c r="E30" s="448"/>
      <c r="F30" s="448"/>
      <c r="G30" s="448"/>
      <c r="H30" s="448"/>
      <c r="I30" s="448"/>
      <c r="J30" s="448"/>
      <c r="K30" s="448"/>
      <c r="L30" s="449"/>
    </row>
    <row r="31" spans="1:12" ht="15">
      <c r="A31" s="124"/>
      <c r="B31" s="85"/>
      <c r="C31" s="85"/>
      <c r="D31" s="85"/>
      <c r="E31" s="85"/>
      <c r="F31" s="85"/>
      <c r="G31" s="85"/>
      <c r="H31" s="85"/>
      <c r="I31" s="85"/>
      <c r="J31" s="85"/>
      <c r="K31" s="85"/>
      <c r="L31" s="125"/>
    </row>
    <row r="32" spans="1:12" ht="15">
      <c r="A32" s="223" t="s">
        <v>171</v>
      </c>
      <c r="B32" s="450" t="s">
        <v>172</v>
      </c>
      <c r="C32" s="451"/>
      <c r="D32" s="228" t="s">
        <v>47</v>
      </c>
      <c r="E32" s="223" t="s">
        <v>173</v>
      </c>
      <c r="F32" s="221" t="s">
        <v>174</v>
      </c>
      <c r="G32" s="450" t="s">
        <v>175</v>
      </c>
      <c r="H32" s="451"/>
      <c r="I32" s="221" t="s">
        <v>176</v>
      </c>
      <c r="J32" s="223" t="s">
        <v>177</v>
      </c>
      <c r="K32" s="452" t="s">
        <v>403</v>
      </c>
      <c r="L32" s="451"/>
    </row>
    <row r="33" spans="1:12" ht="27">
      <c r="A33" s="224" t="s">
        <v>178</v>
      </c>
      <c r="B33" s="453" t="s">
        <v>98</v>
      </c>
      <c r="C33" s="440"/>
      <c r="D33" s="229" t="s">
        <v>98</v>
      </c>
      <c r="E33" s="224" t="s">
        <v>179</v>
      </c>
      <c r="F33" s="94" t="s">
        <v>180</v>
      </c>
      <c r="G33" s="453" t="s">
        <v>181</v>
      </c>
      <c r="H33" s="440"/>
      <c r="I33" s="231" t="s">
        <v>405</v>
      </c>
      <c r="J33" s="229" t="s">
        <v>182</v>
      </c>
      <c r="K33" s="454" t="s">
        <v>404</v>
      </c>
      <c r="L33" s="455"/>
    </row>
    <row r="34" spans="1:12" ht="15">
      <c r="A34" s="225"/>
      <c r="B34" s="441"/>
      <c r="C34" s="442"/>
      <c r="D34" s="227"/>
      <c r="E34" s="226" t="s">
        <v>98</v>
      </c>
      <c r="F34" s="222" t="s">
        <v>98</v>
      </c>
      <c r="G34" s="441"/>
      <c r="H34" s="442"/>
      <c r="I34" s="232"/>
      <c r="J34" s="226" t="s">
        <v>180</v>
      </c>
      <c r="K34" s="443" t="s">
        <v>183</v>
      </c>
      <c r="L34" s="442"/>
    </row>
    <row r="35" spans="1:12" ht="15">
      <c r="A35" s="242">
        <v>1</v>
      </c>
      <c r="B35" s="432">
        <f>STATEMENT!T4</f>
        <v>0</v>
      </c>
      <c r="C35" s="432"/>
      <c r="D35" s="242" t="s">
        <v>406</v>
      </c>
      <c r="E35" s="242"/>
      <c r="F35" s="242">
        <f>B35+E35</f>
        <v>0</v>
      </c>
      <c r="G35" s="432"/>
      <c r="H35" s="432"/>
      <c r="I35" s="235"/>
      <c r="J35" s="239"/>
      <c r="K35" s="433"/>
      <c r="L35" s="434"/>
    </row>
    <row r="36" spans="1:12" ht="15">
      <c r="A36" s="242">
        <v>2</v>
      </c>
      <c r="B36" s="432">
        <f>STATEMENT!T5</f>
        <v>0</v>
      </c>
      <c r="C36" s="432"/>
      <c r="D36" s="242" t="s">
        <v>406</v>
      </c>
      <c r="E36" s="242"/>
      <c r="F36" s="242">
        <f aca="true" t="shared" si="3" ref="F36:F45">B36+E36</f>
        <v>0</v>
      </c>
      <c r="G36" s="432"/>
      <c r="H36" s="432"/>
      <c r="I36" s="235"/>
      <c r="J36" s="239"/>
      <c r="K36" s="433"/>
      <c r="L36" s="434"/>
    </row>
    <row r="37" spans="1:12" ht="15">
      <c r="A37" s="242">
        <v>3</v>
      </c>
      <c r="B37" s="432">
        <f>STATEMENT!T6</f>
        <v>0</v>
      </c>
      <c r="C37" s="432"/>
      <c r="D37" s="242" t="s">
        <v>406</v>
      </c>
      <c r="E37" s="242"/>
      <c r="F37" s="242">
        <f t="shared" si="3"/>
        <v>0</v>
      </c>
      <c r="G37" s="432"/>
      <c r="H37" s="432"/>
      <c r="I37" s="235"/>
      <c r="J37" s="239"/>
      <c r="K37" s="433"/>
      <c r="L37" s="434"/>
    </row>
    <row r="38" spans="1:12" ht="15">
      <c r="A38" s="242">
        <v>4</v>
      </c>
      <c r="B38" s="432">
        <f>STATEMENT!T7</f>
        <v>0</v>
      </c>
      <c r="C38" s="432"/>
      <c r="D38" s="242" t="s">
        <v>406</v>
      </c>
      <c r="E38" s="242"/>
      <c r="F38" s="242">
        <f t="shared" si="3"/>
        <v>0</v>
      </c>
      <c r="G38" s="432"/>
      <c r="H38" s="432"/>
      <c r="I38" s="240"/>
      <c r="J38" s="241"/>
      <c r="K38" s="435"/>
      <c r="L38" s="435"/>
    </row>
    <row r="39" spans="1:12" ht="15">
      <c r="A39" s="242">
        <v>5</v>
      </c>
      <c r="B39" s="432">
        <f>STATEMENT!T8</f>
        <v>0</v>
      </c>
      <c r="C39" s="432"/>
      <c r="D39" s="242" t="s">
        <v>406</v>
      </c>
      <c r="E39" s="242"/>
      <c r="F39" s="242">
        <f t="shared" si="3"/>
        <v>0</v>
      </c>
      <c r="G39" s="432"/>
      <c r="H39" s="432"/>
      <c r="I39" s="240"/>
      <c r="J39" s="241"/>
      <c r="K39" s="435"/>
      <c r="L39" s="435"/>
    </row>
    <row r="40" spans="1:12" ht="15">
      <c r="A40" s="242">
        <v>6</v>
      </c>
      <c r="B40" s="432">
        <f>STATEMENT!T9</f>
        <v>0</v>
      </c>
      <c r="C40" s="432"/>
      <c r="D40" s="242" t="s">
        <v>406</v>
      </c>
      <c r="E40" s="242"/>
      <c r="F40" s="242">
        <f t="shared" si="3"/>
        <v>0</v>
      </c>
      <c r="G40" s="432"/>
      <c r="H40" s="432"/>
      <c r="I40" s="240"/>
      <c r="J40" s="241"/>
      <c r="K40" s="435"/>
      <c r="L40" s="435"/>
    </row>
    <row r="41" spans="1:12" ht="15">
      <c r="A41" s="242">
        <v>7</v>
      </c>
      <c r="B41" s="432">
        <f>STATEMENT!T10</f>
        <v>0</v>
      </c>
      <c r="C41" s="432"/>
      <c r="D41" s="242" t="s">
        <v>406</v>
      </c>
      <c r="E41" s="242"/>
      <c r="F41" s="242">
        <f t="shared" si="3"/>
        <v>0</v>
      </c>
      <c r="G41" s="432"/>
      <c r="H41" s="432"/>
      <c r="I41" s="240"/>
      <c r="J41" s="241"/>
      <c r="K41" s="435"/>
      <c r="L41" s="435"/>
    </row>
    <row r="42" spans="1:12" ht="15">
      <c r="A42" s="242">
        <v>8</v>
      </c>
      <c r="B42" s="432">
        <f>STATEMENT!T11</f>
        <v>0</v>
      </c>
      <c r="C42" s="432"/>
      <c r="D42" s="242" t="s">
        <v>406</v>
      </c>
      <c r="E42" s="242"/>
      <c r="F42" s="242">
        <f t="shared" si="3"/>
        <v>0</v>
      </c>
      <c r="G42" s="432"/>
      <c r="H42" s="432"/>
      <c r="I42" s="240"/>
      <c r="J42" s="241"/>
      <c r="K42" s="435"/>
      <c r="L42" s="435"/>
    </row>
    <row r="43" spans="1:12" ht="15">
      <c r="A43" s="242">
        <v>9</v>
      </c>
      <c r="B43" s="432">
        <f>STATEMENT!T12</f>
        <v>0</v>
      </c>
      <c r="C43" s="432"/>
      <c r="D43" s="242" t="s">
        <v>406</v>
      </c>
      <c r="E43" s="242"/>
      <c r="F43" s="242">
        <f t="shared" si="3"/>
        <v>0</v>
      </c>
      <c r="G43" s="432"/>
      <c r="H43" s="432"/>
      <c r="I43" s="240"/>
      <c r="J43" s="241"/>
      <c r="K43" s="435"/>
      <c r="L43" s="435"/>
    </row>
    <row r="44" spans="1:12" ht="15">
      <c r="A44" s="242">
        <v>10</v>
      </c>
      <c r="B44" s="432">
        <f>STATEMENT!T13</f>
        <v>0</v>
      </c>
      <c r="C44" s="432"/>
      <c r="D44" s="242" t="s">
        <v>406</v>
      </c>
      <c r="E44" s="242"/>
      <c r="F44" s="242">
        <f t="shared" si="3"/>
        <v>0</v>
      </c>
      <c r="G44" s="432"/>
      <c r="H44" s="432"/>
      <c r="I44" s="240"/>
      <c r="J44" s="241"/>
      <c r="K44" s="435"/>
      <c r="L44" s="435"/>
    </row>
    <row r="45" spans="1:12" ht="15">
      <c r="A45" s="242">
        <v>11</v>
      </c>
      <c r="B45" s="432">
        <f>STATEMENT!T14</f>
        <v>0</v>
      </c>
      <c r="C45" s="432"/>
      <c r="D45" s="242" t="s">
        <v>406</v>
      </c>
      <c r="E45" s="242"/>
      <c r="F45" s="242">
        <f t="shared" si="3"/>
        <v>0</v>
      </c>
      <c r="G45" s="432"/>
      <c r="H45" s="432"/>
      <c r="I45" s="240"/>
      <c r="J45" s="241"/>
      <c r="K45" s="435"/>
      <c r="L45" s="435"/>
    </row>
    <row r="46" spans="1:12" ht="15">
      <c r="A46" s="242">
        <v>12</v>
      </c>
      <c r="B46" s="432">
        <f>STATEMENT!T15</f>
        <v>0</v>
      </c>
      <c r="C46" s="432"/>
      <c r="D46" s="265" t="s">
        <v>406</v>
      </c>
      <c r="E46" s="243"/>
      <c r="F46" s="242">
        <f>B46+E46</f>
        <v>0</v>
      </c>
      <c r="G46" s="432"/>
      <c r="H46" s="432"/>
      <c r="I46" s="240"/>
      <c r="J46" s="241"/>
      <c r="K46" s="435"/>
      <c r="L46" s="435"/>
    </row>
    <row r="47" spans="1:12" ht="15">
      <c r="A47" s="124"/>
      <c r="B47" s="85"/>
      <c r="C47" s="85"/>
      <c r="D47" s="85"/>
      <c r="E47" s="85"/>
      <c r="F47" s="85"/>
      <c r="G47" s="436"/>
      <c r="H47" s="436"/>
      <c r="I47" s="85"/>
      <c r="J47" s="85"/>
      <c r="K47" s="436"/>
      <c r="L47" s="440"/>
    </row>
    <row r="48" spans="1:24" ht="15">
      <c r="A48" s="437" t="str">
        <f>CONCATENATE(P48,Q48,"  working as ",S48," do  hereby  certify  that  the  sum  of Rs. ",,L22,"  Rupes in words ",W48," ",X48)</f>
        <v>  I       A.Subba Rao   S/O A.Subbaiah  working as H.M do  hereby  certify  that  the  sum  of Rs. 10600  Rupes in words ten thousand six hundred deducted   at  source   and  paid  to  the credit  of the central Government.   I  further certify  that  the  Informtion givin above is true and  correct based on the books of account, documents, TDS statement, TDS deposited and other available records.</v>
      </c>
      <c r="B48" s="438"/>
      <c r="C48" s="438"/>
      <c r="D48" s="438"/>
      <c r="E48" s="438"/>
      <c r="F48" s="438"/>
      <c r="G48" s="438"/>
      <c r="H48" s="438"/>
      <c r="I48" s="438"/>
      <c r="J48" s="438"/>
      <c r="K48" s="438"/>
      <c r="L48" s="439"/>
      <c r="P48" s="37" t="s">
        <v>193</v>
      </c>
      <c r="Q48" s="37" t="str">
        <f>CONCATENATE(Data!C28," S/O ",Data!C29)</f>
        <v> A.Subba Rao   S/O A.Subbaiah</v>
      </c>
      <c r="R48" s="37" t="s">
        <v>191</v>
      </c>
      <c r="S48" s="37" t="str">
        <f>Data!D28</f>
        <v>H.M</v>
      </c>
      <c r="U48" s="135">
        <f>IF(L26&lt;0,0,L22-L23)</f>
        <v>10600</v>
      </c>
      <c r="V48" s="37" t="s">
        <v>192</v>
      </c>
      <c r="W48" s="37" t="str">
        <f>convert!B2</f>
        <v>ten thousand six hundred</v>
      </c>
      <c r="X48" s="37" t="s">
        <v>328</v>
      </c>
    </row>
    <row r="49" spans="1:12" ht="15">
      <c r="A49" s="437"/>
      <c r="B49" s="438"/>
      <c r="C49" s="438"/>
      <c r="D49" s="438"/>
      <c r="E49" s="438"/>
      <c r="F49" s="438"/>
      <c r="G49" s="438"/>
      <c r="H49" s="438"/>
      <c r="I49" s="438"/>
      <c r="J49" s="438"/>
      <c r="K49" s="438"/>
      <c r="L49" s="439"/>
    </row>
    <row r="50" spans="1:12" ht="15">
      <c r="A50" s="437"/>
      <c r="B50" s="438"/>
      <c r="C50" s="438"/>
      <c r="D50" s="438"/>
      <c r="E50" s="438"/>
      <c r="F50" s="438"/>
      <c r="G50" s="438"/>
      <c r="H50" s="438"/>
      <c r="I50" s="438"/>
      <c r="J50" s="438"/>
      <c r="K50" s="438"/>
      <c r="L50" s="439"/>
    </row>
    <row r="51" spans="1:12" ht="15">
      <c r="A51" s="437"/>
      <c r="B51" s="438"/>
      <c r="C51" s="438"/>
      <c r="D51" s="438"/>
      <c r="E51" s="438"/>
      <c r="F51" s="438"/>
      <c r="G51" s="438"/>
      <c r="H51" s="438"/>
      <c r="I51" s="438"/>
      <c r="J51" s="438"/>
      <c r="K51" s="438"/>
      <c r="L51" s="439"/>
    </row>
    <row r="52" spans="1:12" ht="15">
      <c r="A52" s="437"/>
      <c r="B52" s="438"/>
      <c r="C52" s="438"/>
      <c r="D52" s="438"/>
      <c r="E52" s="438"/>
      <c r="F52" s="438"/>
      <c r="G52" s="438"/>
      <c r="H52" s="438"/>
      <c r="I52" s="438"/>
      <c r="J52" s="438"/>
      <c r="K52" s="438"/>
      <c r="L52" s="439"/>
    </row>
    <row r="53" spans="1:12" ht="15">
      <c r="A53" s="126"/>
      <c r="B53" s="95"/>
      <c r="C53" s="95"/>
      <c r="D53" s="95"/>
      <c r="E53" s="95"/>
      <c r="F53" s="95"/>
      <c r="G53" s="95"/>
      <c r="H53" s="95"/>
      <c r="I53" s="95"/>
      <c r="J53" s="95"/>
      <c r="K53" s="95"/>
      <c r="L53" s="127"/>
    </row>
    <row r="54" spans="1:12" ht="15">
      <c r="A54" s="124"/>
      <c r="B54" s="85"/>
      <c r="C54" s="85"/>
      <c r="D54" s="85"/>
      <c r="E54" s="85"/>
      <c r="F54" s="85"/>
      <c r="G54" s="85"/>
      <c r="H54" s="85"/>
      <c r="I54" s="85"/>
      <c r="J54" s="85"/>
      <c r="K54" s="85"/>
      <c r="L54" s="125"/>
    </row>
    <row r="55" spans="1:12" ht="15">
      <c r="A55" s="124"/>
      <c r="B55" s="85"/>
      <c r="C55" s="85"/>
      <c r="D55" s="85"/>
      <c r="E55" s="85"/>
      <c r="F55" s="85"/>
      <c r="G55" s="85"/>
      <c r="H55" s="85"/>
      <c r="I55" s="85"/>
      <c r="J55" s="85"/>
      <c r="K55" s="85"/>
      <c r="L55" s="125"/>
    </row>
    <row r="56" spans="1:12" ht="15">
      <c r="A56" s="128"/>
      <c r="B56" s="88"/>
      <c r="C56" s="88"/>
      <c r="D56" s="88"/>
      <c r="E56" s="88"/>
      <c r="F56" s="88"/>
      <c r="G56" s="88"/>
      <c r="H56" s="88"/>
      <c r="I56" s="88"/>
      <c r="J56" s="88"/>
      <c r="K56" s="88"/>
      <c r="L56" s="129"/>
    </row>
    <row r="57" spans="1:12" ht="15">
      <c r="A57" s="128"/>
      <c r="B57" s="88"/>
      <c r="C57" s="88"/>
      <c r="D57" s="88"/>
      <c r="E57" s="88"/>
      <c r="F57" s="88"/>
      <c r="G57" s="88"/>
      <c r="H57" s="88"/>
      <c r="I57" s="88"/>
      <c r="J57" s="88"/>
      <c r="K57" s="88"/>
      <c r="L57" s="129"/>
    </row>
    <row r="58" spans="1:12" ht="15">
      <c r="A58" s="144" t="s">
        <v>184</v>
      </c>
      <c r="B58" s="90" t="str">
        <f>Data!D6</f>
        <v>Z.P.H.SCHOOL, RAVELA</v>
      </c>
      <c r="C58" s="88"/>
      <c r="D58" s="88"/>
      <c r="E58" s="88"/>
      <c r="F58" s="90" t="s">
        <v>185</v>
      </c>
      <c r="G58" s="90"/>
      <c r="H58" s="88"/>
      <c r="I58" s="90"/>
      <c r="J58" s="88"/>
      <c r="K58" s="88"/>
      <c r="L58" s="130"/>
    </row>
    <row r="59" spans="1:12" ht="15">
      <c r="A59" s="144" t="s">
        <v>186</v>
      </c>
      <c r="B59" s="430">
        <f ca="1">NOW()</f>
        <v>41659.25826354167</v>
      </c>
      <c r="C59" s="430"/>
      <c r="D59" s="230"/>
      <c r="E59" s="89"/>
      <c r="F59" s="431" t="s">
        <v>308</v>
      </c>
      <c r="G59" s="431"/>
      <c r="H59" s="90" t="str">
        <f>Data!C28</f>
        <v> A.Subba Rao  </v>
      </c>
      <c r="I59" s="90"/>
      <c r="J59" s="90"/>
      <c r="K59" s="88"/>
      <c r="L59" s="131"/>
    </row>
    <row r="60" spans="1:12" ht="15">
      <c r="A60" s="128"/>
      <c r="B60" s="88"/>
      <c r="C60" s="88"/>
      <c r="D60" s="88"/>
      <c r="E60" s="96"/>
      <c r="F60" s="90" t="s">
        <v>309</v>
      </c>
      <c r="G60" s="90"/>
      <c r="H60" s="90" t="str">
        <f>Data!D28</f>
        <v>H.M</v>
      </c>
      <c r="I60" s="90"/>
      <c r="J60" s="90"/>
      <c r="K60" s="88"/>
      <c r="L60" s="131"/>
    </row>
    <row r="61" spans="1:12" ht="15">
      <c r="A61" s="132"/>
      <c r="B61" s="133"/>
      <c r="C61" s="133"/>
      <c r="D61" s="133"/>
      <c r="E61" s="133"/>
      <c r="F61" s="133"/>
      <c r="G61" s="133"/>
      <c r="H61" s="133"/>
      <c r="I61" s="133"/>
      <c r="J61" s="133"/>
      <c r="K61" s="133"/>
      <c r="L61" s="134"/>
    </row>
  </sheetData>
  <sheetProtection/>
  <protectedRanges>
    <protectedRange sqref="B1:D2 B25 A1:A12 A14:A60 B3:C24 E26:G26 B26:C60 I28:L60 I27 E27:H60 I1:L26 E1:H25 D12:D60" name="Range1"/>
    <protectedRange sqref="J27:L27" name="Range1_1"/>
  </protectedRanges>
  <mergeCells count="74">
    <mergeCell ref="B1:F1"/>
    <mergeCell ref="G1:H1"/>
    <mergeCell ref="B2:F2"/>
    <mergeCell ref="G2:H2"/>
    <mergeCell ref="B3:F3"/>
    <mergeCell ref="B4:F4"/>
    <mergeCell ref="B5:F5"/>
    <mergeCell ref="B6:F6"/>
    <mergeCell ref="B7:F7"/>
    <mergeCell ref="B9:F9"/>
    <mergeCell ref="B10:F10"/>
    <mergeCell ref="B11:F11"/>
    <mergeCell ref="B21:H21"/>
    <mergeCell ref="B22:H22"/>
    <mergeCell ref="B23:H23"/>
    <mergeCell ref="B25:H25"/>
    <mergeCell ref="B13:H13"/>
    <mergeCell ref="B15:H15"/>
    <mergeCell ref="B16:H16"/>
    <mergeCell ref="B17:H17"/>
    <mergeCell ref="B18:H18"/>
    <mergeCell ref="B19:H19"/>
    <mergeCell ref="G37:H37"/>
    <mergeCell ref="G38:H38"/>
    <mergeCell ref="A29:L29"/>
    <mergeCell ref="A30:L30"/>
    <mergeCell ref="B32:C32"/>
    <mergeCell ref="G32:H32"/>
    <mergeCell ref="K32:L32"/>
    <mergeCell ref="B33:C33"/>
    <mergeCell ref="G33:H33"/>
    <mergeCell ref="K33:L33"/>
    <mergeCell ref="K43:L43"/>
    <mergeCell ref="K44:L44"/>
    <mergeCell ref="B34:C34"/>
    <mergeCell ref="G34:H34"/>
    <mergeCell ref="K34:L34"/>
    <mergeCell ref="B40:C40"/>
    <mergeCell ref="G40:H40"/>
    <mergeCell ref="K40:L40"/>
    <mergeCell ref="G35:H35"/>
    <mergeCell ref="G36:H36"/>
    <mergeCell ref="K46:L46"/>
    <mergeCell ref="G47:H47"/>
    <mergeCell ref="A48:L52"/>
    <mergeCell ref="K47:L47"/>
    <mergeCell ref="B42:C42"/>
    <mergeCell ref="G42:H42"/>
    <mergeCell ref="K42:L42"/>
    <mergeCell ref="B45:C45"/>
    <mergeCell ref="G45:H45"/>
    <mergeCell ref="K45:L45"/>
    <mergeCell ref="B35:C35"/>
    <mergeCell ref="B36:C36"/>
    <mergeCell ref="B37:C37"/>
    <mergeCell ref="B38:C38"/>
    <mergeCell ref="B39:C39"/>
    <mergeCell ref="B41:C41"/>
    <mergeCell ref="K35:L35"/>
    <mergeCell ref="K36:L36"/>
    <mergeCell ref="K37:L37"/>
    <mergeCell ref="K38:L38"/>
    <mergeCell ref="K39:L39"/>
    <mergeCell ref="K41:L41"/>
    <mergeCell ref="B59:C59"/>
    <mergeCell ref="F59:G59"/>
    <mergeCell ref="G39:H39"/>
    <mergeCell ref="G41:H41"/>
    <mergeCell ref="G43:H43"/>
    <mergeCell ref="G44:H44"/>
    <mergeCell ref="B46:C46"/>
    <mergeCell ref="G46:H46"/>
    <mergeCell ref="B43:C43"/>
    <mergeCell ref="B44:C44"/>
  </mergeCells>
  <printOptions horizontalCentered="1"/>
  <pageMargins left="0.45" right="0.45" top="0.5" bottom="0.5" header="0.3" footer="0.3"/>
  <pageSetup fitToHeight="1" fitToWidth="1" horizontalDpi="600" verticalDpi="600" orientation="portrait" paperSize="5" r:id="rId1"/>
  <ignoredErrors>
    <ignoredError sqref="K38:L46" numberStoredAsText="1"/>
    <ignoredError sqref="F35 F36:F45" emptyCellReference="1"/>
  </ignoredErrors>
</worksheet>
</file>

<file path=xl/worksheets/sheet6.xml><?xml version="1.0" encoding="utf-8"?>
<worksheet xmlns="http://schemas.openxmlformats.org/spreadsheetml/2006/main" xmlns:r="http://schemas.openxmlformats.org/officeDocument/2006/relationships">
  <dimension ref="A1:AD100"/>
  <sheetViews>
    <sheetView zoomScalePageLayoutView="0" workbookViewId="0" topLeftCell="A1">
      <selection activeCell="N2" sqref="N2"/>
    </sheetView>
  </sheetViews>
  <sheetFormatPr defaultColWidth="9.140625" defaultRowHeight="12.75"/>
  <cols>
    <col min="1" max="4" width="30.8515625" style="0" customWidth="1"/>
  </cols>
  <sheetData>
    <row r="1" spans="1:29" ht="15">
      <c r="A1" s="136" t="s">
        <v>194</v>
      </c>
      <c r="B1" s="136" t="s">
        <v>195</v>
      </c>
      <c r="C1" s="136" t="s">
        <v>196</v>
      </c>
      <c r="D1" s="136" t="s">
        <v>197</v>
      </c>
      <c r="AB1">
        <v>0</v>
      </c>
      <c r="AC1" t="s">
        <v>198</v>
      </c>
    </row>
    <row r="2" spans="1:30" ht="15">
      <c r="A2" s="143">
        <f>'Form 16 page-2'!L22</f>
        <v>10600</v>
      </c>
      <c r="B2" s="138" t="str">
        <f>LOWER(C2)</f>
        <v>ten thousand six hundred</v>
      </c>
      <c r="C2" s="138" t="str">
        <f>TRIM(D2)</f>
        <v>TEN THOUSAND SIX HUNDRED</v>
      </c>
      <c r="D2" s="139" t="str">
        <f aca="true" t="shared" si="0" ref="D2:D12">CONCATENATE(R2," ",S2," ",T2," ",U2," ",V2," ",W2," ",AA2," ",X2)</f>
        <v>    TEN THOUSAND SIX HUNDRED    </v>
      </c>
      <c r="E2">
        <f aca="true" t="shared" si="1" ref="E2:E12">A2/100000</f>
        <v>0.106</v>
      </c>
      <c r="F2">
        <f aca="true" t="shared" si="2" ref="F2:F12">INT(E2)</f>
        <v>0</v>
      </c>
      <c r="G2">
        <f aca="true" t="shared" si="3" ref="G2:G12">A2/1000</f>
        <v>10.6</v>
      </c>
      <c r="H2">
        <f aca="true" t="shared" si="4" ref="H2:H12">INT(G2)</f>
        <v>10</v>
      </c>
      <c r="I2">
        <f aca="true" t="shared" si="5" ref="I2:I12">H2-F2*100</f>
        <v>10</v>
      </c>
      <c r="J2">
        <f aca="true" t="shared" si="6" ref="J2:J12">A2/100</f>
        <v>106</v>
      </c>
      <c r="K2">
        <f aca="true" t="shared" si="7" ref="K2:K12">INT(J2)</f>
        <v>106</v>
      </c>
      <c r="L2">
        <f aca="true" t="shared" si="8" ref="L2:L12">K2-(F2*1000+I2*10)</f>
        <v>6</v>
      </c>
      <c r="M2">
        <f aca="true" t="shared" si="9" ref="M2:M12">A2-(F2*100000+I2*1000+L2*100)</f>
        <v>0</v>
      </c>
      <c r="N2" t="str">
        <f>LOOKUP(F2,AB:AB,AC:AC)</f>
        <v>ZERO</v>
      </c>
      <c r="O2" t="str">
        <f>LOOKUP(I2,AB:AB,AC:AC)</f>
        <v>TEN</v>
      </c>
      <c r="P2" t="str">
        <f>LOOKUP(L2,AB:AB,AC:AC)</f>
        <v>SIX</v>
      </c>
      <c r="Q2" t="str">
        <f>LOOKUP(M2,AB:AB,AC:AC)</f>
        <v>ZERO</v>
      </c>
      <c r="R2" t="str">
        <f aca="true" t="shared" si="10" ref="R2:R12">IF(F2&gt;0,N2," ")</f>
        <v> </v>
      </c>
      <c r="S2" t="str">
        <f aca="true" t="shared" si="11" ref="S2:S12">IF(F2&gt;0,"LAKHS"," ")</f>
        <v> </v>
      </c>
      <c r="T2" t="str">
        <f aca="true" t="shared" si="12" ref="T2:T12">IF(I2&gt;0,O2," ")</f>
        <v>TEN</v>
      </c>
      <c r="U2" t="str">
        <f aca="true" t="shared" si="13" ref="U2:U12">IF(I2&gt;0,"THOUSAND"," ")</f>
        <v>THOUSAND</v>
      </c>
      <c r="V2" t="str">
        <f aca="true" t="shared" si="14" ref="V2:V12">IF(L2&gt;0,P2," ")</f>
        <v>SIX</v>
      </c>
      <c r="W2" t="str">
        <f aca="true" t="shared" si="15" ref="W2:W12">IF(L2&gt;0,"HUNDRED"," ")</f>
        <v>HUNDRED</v>
      </c>
      <c r="X2" t="str">
        <f aca="true" t="shared" si="16" ref="X2:X12">IF(M2&gt;0,Q2," ")</f>
        <v> </v>
      </c>
      <c r="Y2" t="b">
        <f aca="true" t="shared" si="17" ref="Y2:Y12">AND(F2=0,I2=0,L2=0)</f>
        <v>0</v>
      </c>
      <c r="Z2" t="str">
        <f aca="true" t="shared" si="18" ref="Z2:Z12">IF(Y2=FALSE,"AND"," ")</f>
        <v>AND</v>
      </c>
      <c r="AA2" t="str">
        <f aca="true" t="shared" si="19" ref="AA2:AA12">IF(M2&gt;0,Z2," ")</f>
        <v> </v>
      </c>
      <c r="AB2">
        <v>1</v>
      </c>
      <c r="AC2" t="s">
        <v>199</v>
      </c>
      <c r="AD2" t="s">
        <v>200</v>
      </c>
    </row>
    <row r="3" spans="1:30" ht="15">
      <c r="A3" s="137">
        <v>456</v>
      </c>
      <c r="B3" s="138" t="str">
        <f aca="true" t="shared" si="20" ref="B3:B12">LOWER(C3)</f>
        <v>four hundred and fifty six</v>
      </c>
      <c r="C3" s="138" t="str">
        <f aca="true" t="shared" si="21" ref="C3:C12">TRIM(D3)</f>
        <v>FOUR HUNDRED AND FIFTY SIX</v>
      </c>
      <c r="D3" s="139" t="str">
        <f t="shared" si="0"/>
        <v>        FOUR HUNDRED AND FIFTY SIX</v>
      </c>
      <c r="E3">
        <f t="shared" si="1"/>
        <v>0.00456</v>
      </c>
      <c r="F3">
        <f t="shared" si="2"/>
        <v>0</v>
      </c>
      <c r="G3">
        <f t="shared" si="3"/>
        <v>0.456</v>
      </c>
      <c r="H3">
        <f t="shared" si="4"/>
        <v>0</v>
      </c>
      <c r="I3">
        <f t="shared" si="5"/>
        <v>0</v>
      </c>
      <c r="J3">
        <f t="shared" si="6"/>
        <v>4.56</v>
      </c>
      <c r="K3">
        <f t="shared" si="7"/>
        <v>4</v>
      </c>
      <c r="L3">
        <f t="shared" si="8"/>
        <v>4</v>
      </c>
      <c r="M3">
        <f t="shared" si="9"/>
        <v>56</v>
      </c>
      <c r="N3" t="str">
        <f>LOOKUP(F3,AB:AB,AC:AC)</f>
        <v>ZERO</v>
      </c>
      <c r="O3" t="str">
        <f>LOOKUP(I3,AB:AB,AC:AC)</f>
        <v>ZERO</v>
      </c>
      <c r="P3" t="str">
        <f>LOOKUP(L3,AB:AB,AC:AC)</f>
        <v>FOUR</v>
      </c>
      <c r="Q3" t="str">
        <f>LOOKUP(M3,AB:AB,AC:AC)</f>
        <v>FIFTY SIX</v>
      </c>
      <c r="R3" t="str">
        <f t="shared" si="10"/>
        <v> </v>
      </c>
      <c r="S3" t="str">
        <f t="shared" si="11"/>
        <v> </v>
      </c>
      <c r="T3" t="str">
        <f t="shared" si="12"/>
        <v> </v>
      </c>
      <c r="U3" t="str">
        <f t="shared" si="13"/>
        <v> </v>
      </c>
      <c r="V3" t="str">
        <f t="shared" si="14"/>
        <v>FOUR</v>
      </c>
      <c r="W3" t="str">
        <f t="shared" si="15"/>
        <v>HUNDRED</v>
      </c>
      <c r="X3" t="str">
        <f t="shared" si="16"/>
        <v>FIFTY SIX</v>
      </c>
      <c r="Y3" t="b">
        <f t="shared" si="17"/>
        <v>0</v>
      </c>
      <c r="Z3" t="str">
        <f t="shared" si="18"/>
        <v>AND</v>
      </c>
      <c r="AA3" t="str">
        <f t="shared" si="19"/>
        <v>AND</v>
      </c>
      <c r="AB3">
        <v>2</v>
      </c>
      <c r="AC3" t="s">
        <v>201</v>
      </c>
      <c r="AD3" t="s">
        <v>202</v>
      </c>
    </row>
    <row r="4" spans="1:30" ht="15">
      <c r="A4" s="137">
        <v>45687</v>
      </c>
      <c r="B4" s="138" t="str">
        <f t="shared" si="20"/>
        <v>forty five thousand six hundred and eighty seven</v>
      </c>
      <c r="C4" s="138" t="str">
        <f t="shared" si="21"/>
        <v>FORTY FIVE THOUSAND SIX HUNDRED AND EIGHTY SEVEN</v>
      </c>
      <c r="D4" s="139" t="str">
        <f t="shared" si="0"/>
        <v>    FORTY  FIVE  THOUSAND SIX HUNDRED AND EIGHTY SEVEN</v>
      </c>
      <c r="E4">
        <f t="shared" si="1"/>
        <v>0.45687</v>
      </c>
      <c r="F4">
        <f t="shared" si="2"/>
        <v>0</v>
      </c>
      <c r="G4">
        <f t="shared" si="3"/>
        <v>45.687</v>
      </c>
      <c r="H4">
        <f t="shared" si="4"/>
        <v>45</v>
      </c>
      <c r="I4">
        <f t="shared" si="5"/>
        <v>45</v>
      </c>
      <c r="J4">
        <f t="shared" si="6"/>
        <v>456.87</v>
      </c>
      <c r="K4">
        <f t="shared" si="7"/>
        <v>456</v>
      </c>
      <c r="L4">
        <f t="shared" si="8"/>
        <v>6</v>
      </c>
      <c r="M4">
        <f t="shared" si="9"/>
        <v>87</v>
      </c>
      <c r="N4" t="str">
        <f>LOOKUP(F4,AB:AB,AC:AC)</f>
        <v>ZERO</v>
      </c>
      <c r="O4" t="str">
        <f>LOOKUP(I4,AB:AB,AC:AC)</f>
        <v>FORTY  FIVE </v>
      </c>
      <c r="P4" t="str">
        <f>LOOKUP(L4,AB:AB,AC:AC)</f>
        <v>SIX</v>
      </c>
      <c r="Q4" t="str">
        <f>LOOKUP(M4,AB:AB,AC:AC)</f>
        <v>EIGHTY SEVEN</v>
      </c>
      <c r="R4" t="str">
        <f t="shared" si="10"/>
        <v> </v>
      </c>
      <c r="S4" t="str">
        <f t="shared" si="11"/>
        <v> </v>
      </c>
      <c r="T4" t="str">
        <f t="shared" si="12"/>
        <v>FORTY  FIVE </v>
      </c>
      <c r="U4" t="str">
        <f t="shared" si="13"/>
        <v>THOUSAND</v>
      </c>
      <c r="V4" t="str">
        <f t="shared" si="14"/>
        <v>SIX</v>
      </c>
      <c r="W4" t="str">
        <f t="shared" si="15"/>
        <v>HUNDRED</v>
      </c>
      <c r="X4" t="str">
        <f t="shared" si="16"/>
        <v>EIGHTY SEVEN</v>
      </c>
      <c r="Y4" t="b">
        <f t="shared" si="17"/>
        <v>0</v>
      </c>
      <c r="Z4" t="str">
        <f t="shared" si="18"/>
        <v>AND</v>
      </c>
      <c r="AA4" t="str">
        <f t="shared" si="19"/>
        <v>AND</v>
      </c>
      <c r="AB4">
        <v>3</v>
      </c>
      <c r="AC4" t="s">
        <v>203</v>
      </c>
      <c r="AD4" t="s">
        <v>204</v>
      </c>
    </row>
    <row r="5" spans="1:30" ht="15">
      <c r="A5" s="137">
        <v>45688</v>
      </c>
      <c r="B5" s="138" t="str">
        <f t="shared" si="20"/>
        <v>forty five thousand six hundred and eighty eight</v>
      </c>
      <c r="C5" s="138" t="str">
        <f t="shared" si="21"/>
        <v>FORTY FIVE THOUSAND SIX HUNDRED AND EIGHTY EIGHT</v>
      </c>
      <c r="D5" s="139" t="str">
        <f t="shared" si="0"/>
        <v>    FORTY  FIVE  THOUSAND SIX HUNDRED AND EIGHTY EIGHT</v>
      </c>
      <c r="E5">
        <f t="shared" si="1"/>
        <v>0.45688</v>
      </c>
      <c r="F5">
        <f t="shared" si="2"/>
        <v>0</v>
      </c>
      <c r="G5">
        <f t="shared" si="3"/>
        <v>45.688</v>
      </c>
      <c r="H5">
        <f t="shared" si="4"/>
        <v>45</v>
      </c>
      <c r="I5">
        <f t="shared" si="5"/>
        <v>45</v>
      </c>
      <c r="J5">
        <f t="shared" si="6"/>
        <v>456.88</v>
      </c>
      <c r="K5">
        <f t="shared" si="7"/>
        <v>456</v>
      </c>
      <c r="L5">
        <f t="shared" si="8"/>
        <v>6</v>
      </c>
      <c r="M5">
        <f t="shared" si="9"/>
        <v>88</v>
      </c>
      <c r="N5" t="str">
        <f>LOOKUP(F5,AB:AB,AC:AC)</f>
        <v>ZERO</v>
      </c>
      <c r="O5" t="str">
        <f>LOOKUP(I5,AB:AB,AC:AC)</f>
        <v>FORTY  FIVE </v>
      </c>
      <c r="P5" t="str">
        <f>LOOKUP(L5,AB:AB,AC:AC)</f>
        <v>SIX</v>
      </c>
      <c r="Q5" t="str">
        <f>LOOKUP(M5,AB:AB,AC:AC)</f>
        <v>EIGHTY EIGHT</v>
      </c>
      <c r="R5" t="str">
        <f t="shared" si="10"/>
        <v> </v>
      </c>
      <c r="S5" t="str">
        <f t="shared" si="11"/>
        <v> </v>
      </c>
      <c r="T5" t="str">
        <f t="shared" si="12"/>
        <v>FORTY  FIVE </v>
      </c>
      <c r="U5" t="str">
        <f t="shared" si="13"/>
        <v>THOUSAND</v>
      </c>
      <c r="V5" t="str">
        <f t="shared" si="14"/>
        <v>SIX</v>
      </c>
      <c r="W5" t="str">
        <f t="shared" si="15"/>
        <v>HUNDRED</v>
      </c>
      <c r="X5" t="str">
        <f t="shared" si="16"/>
        <v>EIGHTY EIGHT</v>
      </c>
      <c r="Y5" t="b">
        <f t="shared" si="17"/>
        <v>0</v>
      </c>
      <c r="Z5" t="str">
        <f t="shared" si="18"/>
        <v>AND</v>
      </c>
      <c r="AA5" t="str">
        <f t="shared" si="19"/>
        <v>AND</v>
      </c>
      <c r="AB5">
        <v>4</v>
      </c>
      <c r="AC5" t="s">
        <v>205</v>
      </c>
      <c r="AD5" t="s">
        <v>206</v>
      </c>
    </row>
    <row r="6" spans="1:29" ht="15">
      <c r="A6" s="137">
        <v>45689</v>
      </c>
      <c r="B6" s="138" t="str">
        <f t="shared" si="20"/>
        <v>forty five thousand six hundred and eighty nine</v>
      </c>
      <c r="C6" s="138" t="str">
        <f t="shared" si="21"/>
        <v>FORTY FIVE THOUSAND SIX HUNDRED AND EIGHTY NINE</v>
      </c>
      <c r="D6" s="139" t="str">
        <f t="shared" si="0"/>
        <v>    FORTY  FIVE  THOUSAND SIX HUNDRED AND EIGHTY NINE</v>
      </c>
      <c r="E6">
        <f t="shared" si="1"/>
        <v>0.45689</v>
      </c>
      <c r="F6">
        <f t="shared" si="2"/>
        <v>0</v>
      </c>
      <c r="G6">
        <f t="shared" si="3"/>
        <v>45.689</v>
      </c>
      <c r="H6">
        <f t="shared" si="4"/>
        <v>45</v>
      </c>
      <c r="I6">
        <f t="shared" si="5"/>
        <v>45</v>
      </c>
      <c r="J6">
        <f t="shared" si="6"/>
        <v>456.89</v>
      </c>
      <c r="K6">
        <f t="shared" si="7"/>
        <v>456</v>
      </c>
      <c r="L6">
        <f t="shared" si="8"/>
        <v>6</v>
      </c>
      <c r="M6">
        <f t="shared" si="9"/>
        <v>89</v>
      </c>
      <c r="N6" t="str">
        <f>LOOKUP(F6,AB:AB,AC:AC)</f>
        <v>ZERO</v>
      </c>
      <c r="O6" t="str">
        <f>LOOKUP(I6,AB:AB,AC:AC)</f>
        <v>FORTY  FIVE </v>
      </c>
      <c r="P6" t="str">
        <f>LOOKUP(L6,AB:AB,AC:AC)</f>
        <v>SIX</v>
      </c>
      <c r="Q6" t="str">
        <f>LOOKUP(M6,AB:AB,AC:AC)</f>
        <v>EIGHTY NINE</v>
      </c>
      <c r="R6" t="str">
        <f t="shared" si="10"/>
        <v> </v>
      </c>
      <c r="S6" t="str">
        <f t="shared" si="11"/>
        <v> </v>
      </c>
      <c r="T6" t="str">
        <f t="shared" si="12"/>
        <v>FORTY  FIVE </v>
      </c>
      <c r="U6" t="str">
        <f t="shared" si="13"/>
        <v>THOUSAND</v>
      </c>
      <c r="V6" t="str">
        <f t="shared" si="14"/>
        <v>SIX</v>
      </c>
      <c r="W6" t="str">
        <f t="shared" si="15"/>
        <v>HUNDRED</v>
      </c>
      <c r="X6" t="str">
        <f t="shared" si="16"/>
        <v>EIGHTY NINE</v>
      </c>
      <c r="Y6" t="b">
        <f t="shared" si="17"/>
        <v>0</v>
      </c>
      <c r="Z6" t="str">
        <f t="shared" si="18"/>
        <v>AND</v>
      </c>
      <c r="AA6" t="str">
        <f t="shared" si="19"/>
        <v>AND</v>
      </c>
      <c r="AB6">
        <v>5</v>
      </c>
      <c r="AC6" t="s">
        <v>207</v>
      </c>
    </row>
    <row r="7" spans="1:29" ht="15">
      <c r="A7" s="137">
        <v>45690</v>
      </c>
      <c r="B7" s="138" t="str">
        <f t="shared" si="20"/>
        <v>forty five thousand six hundred and ninety</v>
      </c>
      <c r="C7" s="138" t="str">
        <f t="shared" si="21"/>
        <v>FORTY FIVE THOUSAND SIX HUNDRED AND NINETY</v>
      </c>
      <c r="D7" s="139" t="str">
        <f t="shared" si="0"/>
        <v>    FORTY  FIVE  THOUSAND SIX HUNDRED AND NINETY</v>
      </c>
      <c r="E7">
        <f t="shared" si="1"/>
        <v>0.4569</v>
      </c>
      <c r="F7">
        <f t="shared" si="2"/>
        <v>0</v>
      </c>
      <c r="G7">
        <f t="shared" si="3"/>
        <v>45.69</v>
      </c>
      <c r="H7">
        <f t="shared" si="4"/>
        <v>45</v>
      </c>
      <c r="I7">
        <f t="shared" si="5"/>
        <v>45</v>
      </c>
      <c r="J7">
        <f t="shared" si="6"/>
        <v>456.9</v>
      </c>
      <c r="K7">
        <f t="shared" si="7"/>
        <v>456</v>
      </c>
      <c r="L7">
        <f t="shared" si="8"/>
        <v>6</v>
      </c>
      <c r="M7">
        <f t="shared" si="9"/>
        <v>90</v>
      </c>
      <c r="N7" t="str">
        <f>LOOKUP(F7,AB:AB,AC:AC)</f>
        <v>ZERO</v>
      </c>
      <c r="O7" t="str">
        <f>LOOKUP(I7,AB:AB,AC:AC)</f>
        <v>FORTY  FIVE </v>
      </c>
      <c r="P7" t="str">
        <f>LOOKUP(L7,AB:AB,AC:AC)</f>
        <v>SIX</v>
      </c>
      <c r="Q7" t="str">
        <f>LOOKUP(M7,AB:AB,AC:AC)</f>
        <v>NINETY</v>
      </c>
      <c r="R7" t="str">
        <f t="shared" si="10"/>
        <v> </v>
      </c>
      <c r="S7" t="str">
        <f t="shared" si="11"/>
        <v> </v>
      </c>
      <c r="T7" t="str">
        <f t="shared" si="12"/>
        <v>FORTY  FIVE </v>
      </c>
      <c r="U7" t="str">
        <f t="shared" si="13"/>
        <v>THOUSAND</v>
      </c>
      <c r="V7" t="str">
        <f t="shared" si="14"/>
        <v>SIX</v>
      </c>
      <c r="W7" t="str">
        <f t="shared" si="15"/>
        <v>HUNDRED</v>
      </c>
      <c r="X7" t="str">
        <f t="shared" si="16"/>
        <v>NINETY</v>
      </c>
      <c r="Y7" t="b">
        <f t="shared" si="17"/>
        <v>0</v>
      </c>
      <c r="Z7" t="str">
        <f t="shared" si="18"/>
        <v>AND</v>
      </c>
      <c r="AA7" t="str">
        <f t="shared" si="19"/>
        <v>AND</v>
      </c>
      <c r="AB7">
        <v>6</v>
      </c>
      <c r="AC7" t="s">
        <v>208</v>
      </c>
    </row>
    <row r="8" spans="1:29" ht="15">
      <c r="A8" s="137">
        <v>45691</v>
      </c>
      <c r="B8" s="138" t="str">
        <f t="shared" si="20"/>
        <v>forty five thousand six hundred and ninety one</v>
      </c>
      <c r="C8" s="138" t="str">
        <f t="shared" si="21"/>
        <v>FORTY FIVE THOUSAND SIX HUNDRED AND NINETY ONE</v>
      </c>
      <c r="D8" s="139" t="str">
        <f t="shared" si="0"/>
        <v>    FORTY  FIVE  THOUSAND SIX HUNDRED AND NINETY ONE </v>
      </c>
      <c r="E8">
        <f t="shared" si="1"/>
        <v>0.45691</v>
      </c>
      <c r="F8">
        <f t="shared" si="2"/>
        <v>0</v>
      </c>
      <c r="G8">
        <f t="shared" si="3"/>
        <v>45.691</v>
      </c>
      <c r="H8">
        <f t="shared" si="4"/>
        <v>45</v>
      </c>
      <c r="I8">
        <f t="shared" si="5"/>
        <v>45</v>
      </c>
      <c r="J8">
        <f t="shared" si="6"/>
        <v>456.91</v>
      </c>
      <c r="K8">
        <f t="shared" si="7"/>
        <v>456</v>
      </c>
      <c r="L8">
        <f t="shared" si="8"/>
        <v>6</v>
      </c>
      <c r="M8">
        <f t="shared" si="9"/>
        <v>91</v>
      </c>
      <c r="N8" t="str">
        <f>LOOKUP(F8,AB:AB,AC:AC)</f>
        <v>ZERO</v>
      </c>
      <c r="O8" t="str">
        <f>LOOKUP(I8,AB:AB,AC:AC)</f>
        <v>FORTY  FIVE </v>
      </c>
      <c r="P8" t="str">
        <f>LOOKUP(L8,AB:AB,AC:AC)</f>
        <v>SIX</v>
      </c>
      <c r="Q8" t="str">
        <f>LOOKUP(M8,AB:AB,AC:AC)</f>
        <v>NINETY ONE </v>
      </c>
      <c r="R8" t="str">
        <f t="shared" si="10"/>
        <v> </v>
      </c>
      <c r="S8" t="str">
        <f t="shared" si="11"/>
        <v> </v>
      </c>
      <c r="T8" t="str">
        <f t="shared" si="12"/>
        <v>FORTY  FIVE </v>
      </c>
      <c r="U8" t="str">
        <f t="shared" si="13"/>
        <v>THOUSAND</v>
      </c>
      <c r="V8" t="str">
        <f t="shared" si="14"/>
        <v>SIX</v>
      </c>
      <c r="W8" t="str">
        <f t="shared" si="15"/>
        <v>HUNDRED</v>
      </c>
      <c r="X8" t="str">
        <f t="shared" si="16"/>
        <v>NINETY ONE </v>
      </c>
      <c r="Y8" t="b">
        <f t="shared" si="17"/>
        <v>0</v>
      </c>
      <c r="Z8" t="str">
        <f t="shared" si="18"/>
        <v>AND</v>
      </c>
      <c r="AA8" t="str">
        <f t="shared" si="19"/>
        <v>AND</v>
      </c>
      <c r="AB8">
        <v>7</v>
      </c>
      <c r="AC8" t="s">
        <v>209</v>
      </c>
    </row>
    <row r="9" spans="1:29" ht="15">
      <c r="A9" s="137">
        <v>45692</v>
      </c>
      <c r="B9" s="138" t="str">
        <f t="shared" si="20"/>
        <v>forty five thousand six hundred and ninety two</v>
      </c>
      <c r="C9" s="138" t="str">
        <f t="shared" si="21"/>
        <v>FORTY FIVE THOUSAND SIX HUNDRED AND NINETY TWO</v>
      </c>
      <c r="D9" s="139" t="str">
        <f t="shared" si="0"/>
        <v>    FORTY  FIVE  THOUSAND SIX HUNDRED AND NINETY TWO</v>
      </c>
      <c r="E9">
        <f t="shared" si="1"/>
        <v>0.45692</v>
      </c>
      <c r="F9">
        <f t="shared" si="2"/>
        <v>0</v>
      </c>
      <c r="G9">
        <f t="shared" si="3"/>
        <v>45.692</v>
      </c>
      <c r="H9">
        <f t="shared" si="4"/>
        <v>45</v>
      </c>
      <c r="I9">
        <f t="shared" si="5"/>
        <v>45</v>
      </c>
      <c r="J9">
        <f t="shared" si="6"/>
        <v>456.92</v>
      </c>
      <c r="K9">
        <f t="shared" si="7"/>
        <v>456</v>
      </c>
      <c r="L9">
        <f t="shared" si="8"/>
        <v>6</v>
      </c>
      <c r="M9">
        <f t="shared" si="9"/>
        <v>92</v>
      </c>
      <c r="N9" t="str">
        <f>LOOKUP(F9,AB:AB,AC:AC)</f>
        <v>ZERO</v>
      </c>
      <c r="O9" t="str">
        <f>LOOKUP(I9,AB:AB,AC:AC)</f>
        <v>FORTY  FIVE </v>
      </c>
      <c r="P9" t="str">
        <f>LOOKUP(L9,AB:AB,AC:AC)</f>
        <v>SIX</v>
      </c>
      <c r="Q9" t="str">
        <f>LOOKUP(M9,AB:AB,AC:AC)</f>
        <v>NINETY TWO</v>
      </c>
      <c r="R9" t="str">
        <f t="shared" si="10"/>
        <v> </v>
      </c>
      <c r="S9" t="str">
        <f t="shared" si="11"/>
        <v> </v>
      </c>
      <c r="T9" t="str">
        <f t="shared" si="12"/>
        <v>FORTY  FIVE </v>
      </c>
      <c r="U9" t="str">
        <f t="shared" si="13"/>
        <v>THOUSAND</v>
      </c>
      <c r="V9" t="str">
        <f t="shared" si="14"/>
        <v>SIX</v>
      </c>
      <c r="W9" t="str">
        <f t="shared" si="15"/>
        <v>HUNDRED</v>
      </c>
      <c r="X9" t="str">
        <f t="shared" si="16"/>
        <v>NINETY TWO</v>
      </c>
      <c r="Y9" t="b">
        <f t="shared" si="17"/>
        <v>0</v>
      </c>
      <c r="Z9" t="str">
        <f t="shared" si="18"/>
        <v>AND</v>
      </c>
      <c r="AA9" t="str">
        <f t="shared" si="19"/>
        <v>AND</v>
      </c>
      <c r="AB9">
        <v>8</v>
      </c>
      <c r="AC9" t="s">
        <v>210</v>
      </c>
    </row>
    <row r="10" spans="1:29" ht="15">
      <c r="A10" s="137">
        <v>45693</v>
      </c>
      <c r="B10" s="138" t="str">
        <f t="shared" si="20"/>
        <v>forty five thousand six hundred and ninety three</v>
      </c>
      <c r="C10" s="138" t="str">
        <f t="shared" si="21"/>
        <v>FORTY FIVE THOUSAND SIX HUNDRED AND NINETY THREE</v>
      </c>
      <c r="D10" s="139" t="str">
        <f t="shared" si="0"/>
        <v>    FORTY  FIVE  THOUSAND SIX HUNDRED AND NINETY THREE</v>
      </c>
      <c r="E10">
        <f t="shared" si="1"/>
        <v>0.45693</v>
      </c>
      <c r="F10">
        <f t="shared" si="2"/>
        <v>0</v>
      </c>
      <c r="G10">
        <f t="shared" si="3"/>
        <v>45.693</v>
      </c>
      <c r="H10">
        <f t="shared" si="4"/>
        <v>45</v>
      </c>
      <c r="I10">
        <f t="shared" si="5"/>
        <v>45</v>
      </c>
      <c r="J10">
        <f t="shared" si="6"/>
        <v>456.93</v>
      </c>
      <c r="K10">
        <f t="shared" si="7"/>
        <v>456</v>
      </c>
      <c r="L10">
        <f t="shared" si="8"/>
        <v>6</v>
      </c>
      <c r="M10">
        <f t="shared" si="9"/>
        <v>93</v>
      </c>
      <c r="N10" t="str">
        <f>LOOKUP(F10,AB:AB,AC:AC)</f>
        <v>ZERO</v>
      </c>
      <c r="O10" t="str">
        <f>LOOKUP(I10,AB:AB,AC:AC)</f>
        <v>FORTY  FIVE </v>
      </c>
      <c r="P10" t="str">
        <f>LOOKUP(L10,AB:AB,AC:AC)</f>
        <v>SIX</v>
      </c>
      <c r="Q10" t="str">
        <f>LOOKUP(M10,AB:AB,AC:AC)</f>
        <v>NINETY THREE</v>
      </c>
      <c r="R10" t="str">
        <f t="shared" si="10"/>
        <v> </v>
      </c>
      <c r="S10" t="str">
        <f t="shared" si="11"/>
        <v> </v>
      </c>
      <c r="T10" t="str">
        <f t="shared" si="12"/>
        <v>FORTY  FIVE </v>
      </c>
      <c r="U10" t="str">
        <f t="shared" si="13"/>
        <v>THOUSAND</v>
      </c>
      <c r="V10" t="str">
        <f t="shared" si="14"/>
        <v>SIX</v>
      </c>
      <c r="W10" t="str">
        <f t="shared" si="15"/>
        <v>HUNDRED</v>
      </c>
      <c r="X10" t="str">
        <f t="shared" si="16"/>
        <v>NINETY THREE</v>
      </c>
      <c r="Y10" t="b">
        <f t="shared" si="17"/>
        <v>0</v>
      </c>
      <c r="Z10" t="str">
        <f t="shared" si="18"/>
        <v>AND</v>
      </c>
      <c r="AA10" t="str">
        <f t="shared" si="19"/>
        <v>AND</v>
      </c>
      <c r="AB10">
        <v>9</v>
      </c>
      <c r="AC10" t="s">
        <v>211</v>
      </c>
    </row>
    <row r="11" spans="1:29" ht="15">
      <c r="A11" s="137">
        <v>45694</v>
      </c>
      <c r="B11" s="138" t="str">
        <f t="shared" si="20"/>
        <v>forty five thousand six hundred and ninety four</v>
      </c>
      <c r="C11" s="138" t="str">
        <f t="shared" si="21"/>
        <v>FORTY FIVE THOUSAND SIX HUNDRED AND NINETY FOUR</v>
      </c>
      <c r="D11" s="139" t="str">
        <f t="shared" si="0"/>
        <v>    FORTY  FIVE  THOUSAND SIX HUNDRED AND NINETY  FOUR</v>
      </c>
      <c r="E11">
        <f t="shared" si="1"/>
        <v>0.45694</v>
      </c>
      <c r="F11">
        <f t="shared" si="2"/>
        <v>0</v>
      </c>
      <c r="G11">
        <f t="shared" si="3"/>
        <v>45.694</v>
      </c>
      <c r="H11">
        <f t="shared" si="4"/>
        <v>45</v>
      </c>
      <c r="I11">
        <f t="shared" si="5"/>
        <v>45</v>
      </c>
      <c r="J11">
        <f t="shared" si="6"/>
        <v>456.94</v>
      </c>
      <c r="K11">
        <f t="shared" si="7"/>
        <v>456</v>
      </c>
      <c r="L11">
        <f t="shared" si="8"/>
        <v>6</v>
      </c>
      <c r="M11">
        <f t="shared" si="9"/>
        <v>94</v>
      </c>
      <c r="N11" t="str">
        <f>LOOKUP(F11,AB:AB,AC:AC)</f>
        <v>ZERO</v>
      </c>
      <c r="O11" t="str">
        <f>LOOKUP(I11,AB:AB,AC:AC)</f>
        <v>FORTY  FIVE </v>
      </c>
      <c r="P11" t="str">
        <f>LOOKUP(L11,AB:AB,AC:AC)</f>
        <v>SIX</v>
      </c>
      <c r="Q11" t="str">
        <f>LOOKUP(M11,AB:AB,AC:AC)</f>
        <v>NINETY  FOUR</v>
      </c>
      <c r="R11" t="str">
        <f t="shared" si="10"/>
        <v> </v>
      </c>
      <c r="S11" t="str">
        <f t="shared" si="11"/>
        <v> </v>
      </c>
      <c r="T11" t="str">
        <f t="shared" si="12"/>
        <v>FORTY  FIVE </v>
      </c>
      <c r="U11" t="str">
        <f t="shared" si="13"/>
        <v>THOUSAND</v>
      </c>
      <c r="V11" t="str">
        <f t="shared" si="14"/>
        <v>SIX</v>
      </c>
      <c r="W11" t="str">
        <f t="shared" si="15"/>
        <v>HUNDRED</v>
      </c>
      <c r="X11" t="str">
        <f t="shared" si="16"/>
        <v>NINETY  FOUR</v>
      </c>
      <c r="Y11" t="b">
        <f t="shared" si="17"/>
        <v>0</v>
      </c>
      <c r="Z11" t="str">
        <f t="shared" si="18"/>
        <v>AND</v>
      </c>
      <c r="AA11" t="str">
        <f t="shared" si="19"/>
        <v>AND</v>
      </c>
      <c r="AB11">
        <v>10</v>
      </c>
      <c r="AC11" t="s">
        <v>212</v>
      </c>
    </row>
    <row r="12" spans="1:29" ht="15">
      <c r="A12" s="137">
        <v>45695</v>
      </c>
      <c r="B12" s="138" t="str">
        <f t="shared" si="20"/>
        <v>forty five thousand six hundred and ninety five</v>
      </c>
      <c r="C12" s="138" t="str">
        <f t="shared" si="21"/>
        <v>FORTY FIVE THOUSAND SIX HUNDRED AND NINETY FIVE</v>
      </c>
      <c r="D12" s="139" t="str">
        <f t="shared" si="0"/>
        <v>    FORTY  FIVE  THOUSAND SIX HUNDRED AND NINETY  FIVE </v>
      </c>
      <c r="E12">
        <f t="shared" si="1"/>
        <v>0.45695</v>
      </c>
      <c r="F12">
        <f t="shared" si="2"/>
        <v>0</v>
      </c>
      <c r="G12">
        <f t="shared" si="3"/>
        <v>45.695</v>
      </c>
      <c r="H12">
        <f t="shared" si="4"/>
        <v>45</v>
      </c>
      <c r="I12">
        <f t="shared" si="5"/>
        <v>45</v>
      </c>
      <c r="J12">
        <f t="shared" si="6"/>
        <v>456.95</v>
      </c>
      <c r="K12">
        <f t="shared" si="7"/>
        <v>456</v>
      </c>
      <c r="L12">
        <f t="shared" si="8"/>
        <v>6</v>
      </c>
      <c r="M12">
        <f t="shared" si="9"/>
        <v>95</v>
      </c>
      <c r="N12" t="str">
        <f>LOOKUP(F12,AB:AB,AC:AC)</f>
        <v>ZERO</v>
      </c>
      <c r="O12" t="str">
        <f>LOOKUP(I12,AB:AB,AC:AC)</f>
        <v>FORTY  FIVE </v>
      </c>
      <c r="P12" t="str">
        <f>LOOKUP(L12,AB:AB,AC:AC)</f>
        <v>SIX</v>
      </c>
      <c r="Q12" t="str">
        <f>LOOKUP(M12,AB:AB,AC:AC)</f>
        <v>NINETY  FIVE </v>
      </c>
      <c r="R12" t="str">
        <f t="shared" si="10"/>
        <v> </v>
      </c>
      <c r="S12" t="str">
        <f t="shared" si="11"/>
        <v> </v>
      </c>
      <c r="T12" t="str">
        <f t="shared" si="12"/>
        <v>FORTY  FIVE </v>
      </c>
      <c r="U12" t="str">
        <f t="shared" si="13"/>
        <v>THOUSAND</v>
      </c>
      <c r="V12" t="str">
        <f t="shared" si="14"/>
        <v>SIX</v>
      </c>
      <c r="W12" t="str">
        <f t="shared" si="15"/>
        <v>HUNDRED</v>
      </c>
      <c r="X12" t="str">
        <f t="shared" si="16"/>
        <v>NINETY  FIVE </v>
      </c>
      <c r="Y12" t="b">
        <f t="shared" si="17"/>
        <v>0</v>
      </c>
      <c r="Z12" t="str">
        <f t="shared" si="18"/>
        <v>AND</v>
      </c>
      <c r="AA12" t="str">
        <f t="shared" si="19"/>
        <v>AND</v>
      </c>
      <c r="AB12">
        <v>11</v>
      </c>
      <c r="AC12" t="s">
        <v>213</v>
      </c>
    </row>
    <row r="13" spans="2:29" ht="23.25">
      <c r="B13" s="140" t="s">
        <v>214</v>
      </c>
      <c r="AB13">
        <v>12</v>
      </c>
      <c r="AC13" t="s">
        <v>215</v>
      </c>
    </row>
    <row r="14" spans="2:29" ht="23.25">
      <c r="B14" s="140" t="s">
        <v>216</v>
      </c>
      <c r="AB14">
        <v>13</v>
      </c>
      <c r="AC14" t="s">
        <v>217</v>
      </c>
    </row>
    <row r="15" spans="2:29" ht="26.25">
      <c r="B15" s="141">
        <v>9393632288</v>
      </c>
      <c r="AB15">
        <v>14</v>
      </c>
      <c r="AC15" t="s">
        <v>218</v>
      </c>
    </row>
    <row r="16" spans="2:29" ht="26.25">
      <c r="B16" s="142" t="s">
        <v>219</v>
      </c>
      <c r="AB16">
        <v>15</v>
      </c>
      <c r="AC16" t="s">
        <v>220</v>
      </c>
    </row>
    <row r="17" spans="28:29" ht="12.75">
      <c r="AB17">
        <v>16</v>
      </c>
      <c r="AC17" t="s">
        <v>221</v>
      </c>
    </row>
    <row r="18" spans="28:29" ht="12.75">
      <c r="AB18">
        <v>17</v>
      </c>
      <c r="AC18" t="s">
        <v>222</v>
      </c>
    </row>
    <row r="19" spans="28:29" ht="12.75">
      <c r="AB19">
        <v>18</v>
      </c>
      <c r="AC19" t="s">
        <v>223</v>
      </c>
    </row>
    <row r="20" spans="28:29" ht="12.75">
      <c r="AB20">
        <v>19</v>
      </c>
      <c r="AC20" t="s">
        <v>224</v>
      </c>
    </row>
    <row r="21" spans="28:29" ht="12.75">
      <c r="AB21">
        <v>20</v>
      </c>
      <c r="AC21" t="s">
        <v>225</v>
      </c>
    </row>
    <row r="22" spans="28:29" ht="12.75">
      <c r="AB22">
        <v>21</v>
      </c>
      <c r="AC22" t="s">
        <v>226</v>
      </c>
    </row>
    <row r="23" spans="28:29" ht="12.75">
      <c r="AB23">
        <v>22</v>
      </c>
      <c r="AC23" t="s">
        <v>227</v>
      </c>
    </row>
    <row r="24" spans="28:29" ht="12.75">
      <c r="AB24">
        <v>23</v>
      </c>
      <c r="AC24" t="s">
        <v>228</v>
      </c>
    </row>
    <row r="25" spans="28:29" ht="12.75">
      <c r="AB25">
        <v>24</v>
      </c>
      <c r="AC25" t="s">
        <v>229</v>
      </c>
    </row>
    <row r="26" spans="28:29" ht="12.75">
      <c r="AB26">
        <v>25</v>
      </c>
      <c r="AC26" t="s">
        <v>230</v>
      </c>
    </row>
    <row r="27" spans="28:29" ht="12.75">
      <c r="AB27">
        <v>26</v>
      </c>
      <c r="AC27" t="s">
        <v>231</v>
      </c>
    </row>
    <row r="28" spans="28:29" ht="12.75">
      <c r="AB28">
        <v>27</v>
      </c>
      <c r="AC28" t="s">
        <v>232</v>
      </c>
    </row>
    <row r="29" spans="28:29" ht="12.75">
      <c r="AB29">
        <v>28</v>
      </c>
      <c r="AC29" t="s">
        <v>233</v>
      </c>
    </row>
    <row r="30" spans="28:29" ht="12.75">
      <c r="AB30">
        <v>29</v>
      </c>
      <c r="AC30" t="s">
        <v>234</v>
      </c>
    </row>
    <row r="31" spans="28:29" ht="12.75">
      <c r="AB31">
        <v>30</v>
      </c>
      <c r="AC31" t="s">
        <v>235</v>
      </c>
    </row>
    <row r="32" spans="28:29" ht="12.75">
      <c r="AB32">
        <v>31</v>
      </c>
      <c r="AC32" t="s">
        <v>236</v>
      </c>
    </row>
    <row r="33" spans="28:29" ht="12.75">
      <c r="AB33">
        <v>32</v>
      </c>
      <c r="AC33" t="s">
        <v>237</v>
      </c>
    </row>
    <row r="34" spans="28:29" ht="12.75">
      <c r="AB34">
        <v>33</v>
      </c>
      <c r="AC34" t="s">
        <v>238</v>
      </c>
    </row>
    <row r="35" spans="28:29" ht="12.75">
      <c r="AB35">
        <v>34</v>
      </c>
      <c r="AC35" t="s">
        <v>239</v>
      </c>
    </row>
    <row r="36" spans="28:29" ht="12.75">
      <c r="AB36">
        <v>35</v>
      </c>
      <c r="AC36" t="s">
        <v>240</v>
      </c>
    </row>
    <row r="37" spans="28:29" ht="12.75">
      <c r="AB37">
        <v>36</v>
      </c>
      <c r="AC37" t="s">
        <v>241</v>
      </c>
    </row>
    <row r="38" spans="28:29" ht="12.75">
      <c r="AB38">
        <v>37</v>
      </c>
      <c r="AC38" t="s">
        <v>242</v>
      </c>
    </row>
    <row r="39" spans="28:29" ht="12.75">
      <c r="AB39">
        <v>38</v>
      </c>
      <c r="AC39" t="s">
        <v>243</v>
      </c>
    </row>
    <row r="40" spans="28:29" ht="12.75">
      <c r="AB40">
        <v>39</v>
      </c>
      <c r="AC40" t="s">
        <v>244</v>
      </c>
    </row>
    <row r="41" spans="28:29" ht="12.75">
      <c r="AB41">
        <v>40</v>
      </c>
      <c r="AC41" t="s">
        <v>245</v>
      </c>
    </row>
    <row r="42" spans="28:29" ht="12.75">
      <c r="AB42">
        <v>41</v>
      </c>
      <c r="AC42" t="s">
        <v>246</v>
      </c>
    </row>
    <row r="43" spans="28:29" ht="12.75">
      <c r="AB43">
        <v>42</v>
      </c>
      <c r="AC43" t="s">
        <v>247</v>
      </c>
    </row>
    <row r="44" spans="28:29" ht="12.75">
      <c r="AB44">
        <v>43</v>
      </c>
      <c r="AC44" t="s">
        <v>248</v>
      </c>
    </row>
    <row r="45" spans="28:29" ht="12.75">
      <c r="AB45">
        <v>44</v>
      </c>
      <c r="AC45" t="s">
        <v>249</v>
      </c>
    </row>
    <row r="46" spans="28:29" ht="12.75">
      <c r="AB46">
        <v>45</v>
      </c>
      <c r="AC46" t="s">
        <v>250</v>
      </c>
    </row>
    <row r="47" spans="28:29" ht="12.75">
      <c r="AB47">
        <v>46</v>
      </c>
      <c r="AC47" t="s">
        <v>251</v>
      </c>
    </row>
    <row r="48" spans="28:29" ht="12.75">
      <c r="AB48">
        <v>47</v>
      </c>
      <c r="AC48" t="s">
        <v>252</v>
      </c>
    </row>
    <row r="49" spans="28:29" ht="12.75">
      <c r="AB49">
        <v>48</v>
      </c>
      <c r="AC49" t="s">
        <v>253</v>
      </c>
    </row>
    <row r="50" spans="28:29" ht="12.75">
      <c r="AB50">
        <v>49</v>
      </c>
      <c r="AC50" t="s">
        <v>254</v>
      </c>
    </row>
    <row r="51" spans="28:29" ht="12.75">
      <c r="AB51">
        <v>50</v>
      </c>
      <c r="AC51" t="s">
        <v>255</v>
      </c>
    </row>
    <row r="52" spans="28:29" ht="12.75">
      <c r="AB52">
        <v>51</v>
      </c>
      <c r="AC52" t="s">
        <v>256</v>
      </c>
    </row>
    <row r="53" spans="28:29" ht="12.75">
      <c r="AB53">
        <v>52</v>
      </c>
      <c r="AC53" t="s">
        <v>257</v>
      </c>
    </row>
    <row r="54" spans="28:29" ht="12.75">
      <c r="AB54">
        <v>53</v>
      </c>
      <c r="AC54" t="s">
        <v>258</v>
      </c>
    </row>
    <row r="55" spans="28:29" ht="12.75">
      <c r="AB55">
        <v>54</v>
      </c>
      <c r="AC55" t="s">
        <v>259</v>
      </c>
    </row>
    <row r="56" spans="28:29" ht="12.75">
      <c r="AB56">
        <v>55</v>
      </c>
      <c r="AC56" t="s">
        <v>260</v>
      </c>
    </row>
    <row r="57" spans="28:29" ht="12.75">
      <c r="AB57">
        <v>56</v>
      </c>
      <c r="AC57" t="s">
        <v>261</v>
      </c>
    </row>
    <row r="58" spans="28:29" ht="12.75">
      <c r="AB58">
        <v>57</v>
      </c>
      <c r="AC58" t="s">
        <v>262</v>
      </c>
    </row>
    <row r="59" spans="28:29" ht="12.75">
      <c r="AB59">
        <v>58</v>
      </c>
      <c r="AC59" t="s">
        <v>263</v>
      </c>
    </row>
    <row r="60" spans="28:29" ht="12.75">
      <c r="AB60">
        <v>59</v>
      </c>
      <c r="AC60" t="s">
        <v>264</v>
      </c>
    </row>
    <row r="61" spans="28:29" ht="12.75">
      <c r="AB61">
        <v>60</v>
      </c>
      <c r="AC61" t="s">
        <v>265</v>
      </c>
    </row>
    <row r="62" spans="28:29" ht="12.75">
      <c r="AB62">
        <v>61</v>
      </c>
      <c r="AC62" t="s">
        <v>266</v>
      </c>
    </row>
    <row r="63" spans="28:29" ht="12.75">
      <c r="AB63">
        <v>62</v>
      </c>
      <c r="AC63" t="s">
        <v>267</v>
      </c>
    </row>
    <row r="64" spans="28:29" ht="12.75">
      <c r="AB64">
        <v>63</v>
      </c>
      <c r="AC64" t="s">
        <v>268</v>
      </c>
    </row>
    <row r="65" spans="28:29" ht="12.75">
      <c r="AB65">
        <v>64</v>
      </c>
      <c r="AC65" t="s">
        <v>269</v>
      </c>
    </row>
    <row r="66" spans="28:29" ht="12.75">
      <c r="AB66">
        <v>65</v>
      </c>
      <c r="AC66" t="s">
        <v>270</v>
      </c>
    </row>
    <row r="67" spans="28:29" ht="12.75">
      <c r="AB67">
        <v>66</v>
      </c>
      <c r="AC67" t="s">
        <v>271</v>
      </c>
    </row>
    <row r="68" spans="28:29" ht="12.75">
      <c r="AB68">
        <v>67</v>
      </c>
      <c r="AC68" t="s">
        <v>272</v>
      </c>
    </row>
    <row r="69" spans="28:29" ht="12.75">
      <c r="AB69">
        <v>68</v>
      </c>
      <c r="AC69" t="s">
        <v>273</v>
      </c>
    </row>
    <row r="70" spans="28:29" ht="12.75">
      <c r="AB70">
        <v>69</v>
      </c>
      <c r="AC70" t="s">
        <v>274</v>
      </c>
    </row>
    <row r="71" spans="28:29" ht="12.75">
      <c r="AB71">
        <v>70</v>
      </c>
      <c r="AC71" t="s">
        <v>275</v>
      </c>
    </row>
    <row r="72" spans="28:29" ht="12.75">
      <c r="AB72">
        <v>71</v>
      </c>
      <c r="AC72" t="s">
        <v>276</v>
      </c>
    </row>
    <row r="73" spans="28:29" ht="12.75">
      <c r="AB73">
        <v>72</v>
      </c>
      <c r="AC73" t="s">
        <v>277</v>
      </c>
    </row>
    <row r="74" spans="28:29" ht="12.75">
      <c r="AB74">
        <v>73</v>
      </c>
      <c r="AC74" t="s">
        <v>278</v>
      </c>
    </row>
    <row r="75" spans="28:29" ht="12.75">
      <c r="AB75">
        <v>74</v>
      </c>
      <c r="AC75" t="s">
        <v>279</v>
      </c>
    </row>
    <row r="76" spans="28:29" ht="12.75">
      <c r="AB76">
        <v>75</v>
      </c>
      <c r="AC76" t="s">
        <v>280</v>
      </c>
    </row>
    <row r="77" spans="28:29" ht="12.75">
      <c r="AB77">
        <v>76</v>
      </c>
      <c r="AC77" t="s">
        <v>281</v>
      </c>
    </row>
    <row r="78" spans="28:29" ht="12.75">
      <c r="AB78">
        <v>77</v>
      </c>
      <c r="AC78" t="s">
        <v>282</v>
      </c>
    </row>
    <row r="79" spans="28:29" ht="12.75">
      <c r="AB79">
        <v>78</v>
      </c>
      <c r="AC79" t="s">
        <v>283</v>
      </c>
    </row>
    <row r="80" spans="28:29" ht="12.75">
      <c r="AB80">
        <v>79</v>
      </c>
      <c r="AC80" t="s">
        <v>284</v>
      </c>
    </row>
    <row r="81" spans="28:29" ht="12.75">
      <c r="AB81">
        <v>80</v>
      </c>
      <c r="AC81" t="s">
        <v>285</v>
      </c>
    </row>
    <row r="82" spans="28:29" ht="12.75">
      <c r="AB82">
        <v>81</v>
      </c>
      <c r="AC82" t="s">
        <v>286</v>
      </c>
    </row>
    <row r="83" spans="28:29" ht="12.75">
      <c r="AB83">
        <v>82</v>
      </c>
      <c r="AC83" t="s">
        <v>287</v>
      </c>
    </row>
    <row r="84" spans="28:29" ht="12.75">
      <c r="AB84">
        <v>83</v>
      </c>
      <c r="AC84" t="s">
        <v>288</v>
      </c>
    </row>
    <row r="85" spans="28:29" ht="12.75">
      <c r="AB85">
        <v>84</v>
      </c>
      <c r="AC85" t="s">
        <v>289</v>
      </c>
    </row>
    <row r="86" spans="28:29" ht="12.75">
      <c r="AB86">
        <v>85</v>
      </c>
      <c r="AC86" t="s">
        <v>290</v>
      </c>
    </row>
    <row r="87" spans="28:29" ht="12.75">
      <c r="AB87">
        <v>86</v>
      </c>
      <c r="AC87" t="s">
        <v>291</v>
      </c>
    </row>
    <row r="88" spans="28:29" ht="12.75">
      <c r="AB88">
        <v>87</v>
      </c>
      <c r="AC88" t="s">
        <v>292</v>
      </c>
    </row>
    <row r="89" spans="28:29" ht="12.75">
      <c r="AB89">
        <v>88</v>
      </c>
      <c r="AC89" t="s">
        <v>293</v>
      </c>
    </row>
    <row r="90" spans="28:29" ht="12.75">
      <c r="AB90">
        <v>89</v>
      </c>
      <c r="AC90" t="s">
        <v>294</v>
      </c>
    </row>
    <row r="91" spans="28:29" ht="12.75">
      <c r="AB91">
        <v>90</v>
      </c>
      <c r="AC91" t="s">
        <v>295</v>
      </c>
    </row>
    <row r="92" spans="28:29" ht="12.75">
      <c r="AB92">
        <v>91</v>
      </c>
      <c r="AC92" t="s">
        <v>296</v>
      </c>
    </row>
    <row r="93" spans="28:29" ht="12.75">
      <c r="AB93">
        <v>92</v>
      </c>
      <c r="AC93" t="s">
        <v>297</v>
      </c>
    </row>
    <row r="94" spans="28:29" ht="12.75">
      <c r="AB94">
        <v>93</v>
      </c>
      <c r="AC94" t="s">
        <v>298</v>
      </c>
    </row>
    <row r="95" spans="28:29" ht="12.75">
      <c r="AB95">
        <v>94</v>
      </c>
      <c r="AC95" t="s">
        <v>299</v>
      </c>
    </row>
    <row r="96" spans="28:29" ht="12.75">
      <c r="AB96">
        <v>95</v>
      </c>
      <c r="AC96" t="s">
        <v>300</v>
      </c>
    </row>
    <row r="97" spans="28:29" ht="12.75">
      <c r="AB97">
        <v>96</v>
      </c>
      <c r="AC97" t="s">
        <v>301</v>
      </c>
    </row>
    <row r="98" spans="28:29" ht="12.75">
      <c r="AB98">
        <v>97</v>
      </c>
      <c r="AC98" t="s">
        <v>302</v>
      </c>
    </row>
    <row r="99" spans="28:29" ht="12.75">
      <c r="AB99">
        <v>98</v>
      </c>
      <c r="AC99" t="s">
        <v>303</v>
      </c>
    </row>
    <row r="100" spans="28:29" ht="12.75">
      <c r="AB100">
        <v>99</v>
      </c>
      <c r="AC100" t="s">
        <v>304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VEMURU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MURALI</dc:creator>
  <cp:keywords/>
  <dc:description/>
  <cp:lastModifiedBy>TPREDDY</cp:lastModifiedBy>
  <cp:lastPrinted>2014-01-08T15:34:39Z</cp:lastPrinted>
  <dcterms:created xsi:type="dcterms:W3CDTF">2008-12-09T06:12:18Z</dcterms:created>
  <dcterms:modified xsi:type="dcterms:W3CDTF">2014-01-20T00:42:19Z</dcterms:modified>
  <cp:category/>
  <cp:version/>
  <cp:contentType/>
  <cp:contentStatus/>
</cp:coreProperties>
</file>